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승원\co-op\OV-PAM\OV-PAM_modeling\OV_PAM_modeling_승원\"/>
    </mc:Choice>
  </mc:AlternateContent>
  <xr:revisionPtr revIDLastSave="0" documentId="13_ncr:1_{25229640-786D-4271-AD06-AA994A9DFBBC}" xr6:coauthVersionLast="47" xr6:coauthVersionMax="47" xr10:uidLastSave="{00000000-0000-0000-0000-000000000000}"/>
  <bookViews>
    <workbookView xWindow="-108" yWindow="-108" windowWidth="27096" windowHeight="16416" activeTab="1" xr2:uid="{3D63249C-FD42-4B2F-AE9E-5CB10AFC825A}"/>
  </bookViews>
  <sheets>
    <sheet name="Sheet1" sheetId="1" r:id="rId1"/>
    <sheet name="Sheet2" sheetId="2" r:id="rId2"/>
    <sheet name="Sheet3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M23" i="2" l="1"/>
  <c r="M22" i="2"/>
  <c r="T23" i="2"/>
  <c r="T22" i="2"/>
  <c r="S23" i="2"/>
  <c r="S22" i="2"/>
  <c r="R23" i="2"/>
  <c r="R22" i="2"/>
  <c r="Q23" i="2"/>
  <c r="Q22" i="2"/>
  <c r="O23" i="2"/>
  <c r="N23" i="2"/>
  <c r="L23" i="2"/>
  <c r="O22" i="2"/>
  <c r="N22" i="2"/>
  <c r="L22" i="2"/>
  <c r="AB5" i="2"/>
  <c r="AA16" i="2"/>
  <c r="AB16" i="2"/>
  <c r="AC16" i="2"/>
  <c r="AD16" i="2"/>
  <c r="AE16" i="2"/>
  <c r="L155" i="3"/>
  <c r="K155" i="3"/>
  <c r="J155" i="3"/>
  <c r="I155" i="3"/>
  <c r="H155" i="3"/>
  <c r="G155" i="3"/>
  <c r="F155" i="3"/>
  <c r="G142" i="3"/>
  <c r="H142" i="3"/>
  <c r="I142" i="3"/>
  <c r="J142" i="3"/>
  <c r="K142" i="3"/>
  <c r="L142" i="3"/>
  <c r="F142" i="3"/>
  <c r="H141" i="3"/>
  <c r="H140" i="3"/>
  <c r="H139" i="3"/>
  <c r="H152" i="3" s="1"/>
  <c r="H138" i="3"/>
  <c r="H137" i="3"/>
  <c r="H154" i="3"/>
  <c r="H151" i="3"/>
  <c r="K136" i="3"/>
  <c r="J136" i="3"/>
  <c r="J149" i="3" s="1"/>
  <c r="I136" i="3"/>
  <c r="I149" i="3" s="1"/>
  <c r="I146" i="3"/>
  <c r="J146" i="3"/>
  <c r="K146" i="3"/>
  <c r="H146" i="3"/>
  <c r="F134" i="3"/>
  <c r="L134" i="3"/>
  <c r="K134" i="3"/>
  <c r="J134" i="3"/>
  <c r="L132" i="3"/>
  <c r="K154" i="3"/>
  <c r="J154" i="3"/>
  <c r="I154" i="3"/>
  <c r="G154" i="3"/>
  <c r="F154" i="3"/>
  <c r="K153" i="3"/>
  <c r="J153" i="3"/>
  <c r="I153" i="3"/>
  <c r="H153" i="3"/>
  <c r="G153" i="3"/>
  <c r="F153" i="3"/>
  <c r="K152" i="3"/>
  <c r="J152" i="3"/>
  <c r="I152" i="3"/>
  <c r="G152" i="3"/>
  <c r="F152" i="3"/>
  <c r="K151" i="3"/>
  <c r="J151" i="3"/>
  <c r="I151" i="3"/>
  <c r="G151" i="3"/>
  <c r="F151" i="3"/>
  <c r="K150" i="3"/>
  <c r="J150" i="3"/>
  <c r="I150" i="3"/>
  <c r="H150" i="3"/>
  <c r="G150" i="3"/>
  <c r="F150" i="3"/>
  <c r="K149" i="3"/>
  <c r="H149" i="3"/>
  <c r="G149" i="3"/>
  <c r="F149" i="3"/>
  <c r="O95" i="3"/>
  <c r="L104" i="3"/>
  <c r="G104" i="3"/>
  <c r="F116" i="3"/>
  <c r="K116" i="3"/>
  <c r="I116" i="3"/>
  <c r="I126" i="3" s="1"/>
  <c r="H116" i="3"/>
  <c r="G116" i="3"/>
  <c r="I115" i="3"/>
  <c r="H115" i="3"/>
  <c r="G115" i="3"/>
  <c r="J114" i="3"/>
  <c r="I114" i="3"/>
  <c r="I124" i="3" s="1"/>
  <c r="H114" i="3"/>
  <c r="G114" i="3"/>
  <c r="J113" i="3"/>
  <c r="I113" i="3"/>
  <c r="H113" i="3"/>
  <c r="G113" i="3"/>
  <c r="J112" i="3"/>
  <c r="I112" i="3"/>
  <c r="H112" i="3"/>
  <c r="H122" i="3" s="1"/>
  <c r="G112" i="3"/>
  <c r="F112" i="3"/>
  <c r="K111" i="3"/>
  <c r="J111" i="3"/>
  <c r="I111" i="3"/>
  <c r="H111" i="3"/>
  <c r="H126" i="3" s="1"/>
  <c r="G111" i="3"/>
  <c r="F111" i="3"/>
  <c r="K108" i="3"/>
  <c r="F108" i="3"/>
  <c r="F104" i="3"/>
  <c r="J116" i="3"/>
  <c r="K115" i="3"/>
  <c r="J115" i="3"/>
  <c r="F115" i="3"/>
  <c r="F125" i="3" s="1"/>
  <c r="K114" i="3"/>
  <c r="F114" i="3"/>
  <c r="K113" i="3"/>
  <c r="K123" i="3" s="1"/>
  <c r="F113" i="3"/>
  <c r="K112" i="3"/>
  <c r="K122" i="3" s="1"/>
  <c r="I47" i="3"/>
  <c r="K42" i="3"/>
  <c r="J42" i="3"/>
  <c r="I42" i="3"/>
  <c r="H42" i="3"/>
  <c r="G42" i="3"/>
  <c r="F42" i="3"/>
  <c r="K72" i="3"/>
  <c r="F69" i="3"/>
  <c r="F63" i="3" s="1"/>
  <c r="F76" i="3" s="1"/>
  <c r="K69" i="3"/>
  <c r="K64" i="3" s="1"/>
  <c r="K77" i="3" s="1"/>
  <c r="J64" i="3"/>
  <c r="J77" i="3" s="1"/>
  <c r="J63" i="3"/>
  <c r="J76" i="3" s="1"/>
  <c r="J62" i="3"/>
  <c r="J75" i="3" s="1"/>
  <c r="J61" i="3"/>
  <c r="J74" i="3" s="1"/>
  <c r="J60" i="3"/>
  <c r="J73" i="3" s="1"/>
  <c r="I77" i="3"/>
  <c r="H77" i="3"/>
  <c r="G77" i="3"/>
  <c r="I76" i="3"/>
  <c r="I86" i="3" s="1"/>
  <c r="H76" i="3"/>
  <c r="G76" i="3"/>
  <c r="I75" i="3"/>
  <c r="H75" i="3"/>
  <c r="G75" i="3"/>
  <c r="I74" i="3"/>
  <c r="H74" i="3"/>
  <c r="G74" i="3"/>
  <c r="I73" i="3"/>
  <c r="H73" i="3"/>
  <c r="G73" i="3"/>
  <c r="J72" i="3"/>
  <c r="I72" i="3"/>
  <c r="H72" i="3"/>
  <c r="G72" i="3"/>
  <c r="F72" i="3"/>
  <c r="F65" i="3"/>
  <c r="G65" i="3"/>
  <c r="I54" i="3"/>
  <c r="I65" i="3" s="1"/>
  <c r="J54" i="3"/>
  <c r="J65" i="3" s="1"/>
  <c r="K54" i="3"/>
  <c r="K65" i="3" s="1"/>
  <c r="L54" i="3"/>
  <c r="L65" i="3" s="1"/>
  <c r="H54" i="3"/>
  <c r="H65" i="3" s="1"/>
  <c r="L56" i="3"/>
  <c r="K56" i="3"/>
  <c r="J56" i="3"/>
  <c r="I56" i="3"/>
  <c r="H56" i="3"/>
  <c r="I38" i="2"/>
  <c r="G33" i="3"/>
  <c r="G43" i="3" s="1"/>
  <c r="H33" i="3"/>
  <c r="H43" i="3" s="1"/>
  <c r="I33" i="3"/>
  <c r="I43" i="3" s="1"/>
  <c r="J33" i="3"/>
  <c r="K33" i="3"/>
  <c r="G34" i="3"/>
  <c r="H34" i="3"/>
  <c r="I34" i="3"/>
  <c r="J34" i="3"/>
  <c r="K34" i="3"/>
  <c r="G35" i="3"/>
  <c r="H35" i="3"/>
  <c r="H45" i="3" s="1"/>
  <c r="I35" i="3"/>
  <c r="I45" i="3" s="1"/>
  <c r="J35" i="3"/>
  <c r="K35" i="3"/>
  <c r="G36" i="3"/>
  <c r="G46" i="3" s="1"/>
  <c r="H36" i="3"/>
  <c r="H46" i="3" s="1"/>
  <c r="I36" i="3"/>
  <c r="I46" i="3" s="1"/>
  <c r="J36" i="3"/>
  <c r="K36" i="3"/>
  <c r="G37" i="3"/>
  <c r="H37" i="3"/>
  <c r="I37" i="3"/>
  <c r="J37" i="3"/>
  <c r="K37" i="3"/>
  <c r="G32" i="3"/>
  <c r="H32" i="3"/>
  <c r="H47" i="3" s="1"/>
  <c r="I32" i="3"/>
  <c r="J32" i="3"/>
  <c r="K32" i="3"/>
  <c r="K47" i="3" s="1"/>
  <c r="F32" i="3"/>
  <c r="J9" i="3"/>
  <c r="F21" i="3"/>
  <c r="F34" i="3" s="1"/>
  <c r="F44" i="3" s="1"/>
  <c r="F22" i="3"/>
  <c r="F35" i="3" s="1"/>
  <c r="F45" i="3" s="1"/>
  <c r="F23" i="3"/>
  <c r="F36" i="3" s="1"/>
  <c r="F24" i="3"/>
  <c r="F37" i="3" s="1"/>
  <c r="F20" i="3"/>
  <c r="F33" i="3" s="1"/>
  <c r="I16" i="3"/>
  <c r="J16" i="3"/>
  <c r="K16" i="3"/>
  <c r="L16" i="3"/>
  <c r="H16" i="3"/>
  <c r="I14" i="3"/>
  <c r="J14" i="3"/>
  <c r="K14" i="3"/>
  <c r="L14" i="3"/>
  <c r="H14" i="3"/>
  <c r="G9" i="3"/>
  <c r="Q39" i="1"/>
  <c r="Q40" i="1"/>
  <c r="Q41" i="1"/>
  <c r="Q42" i="1"/>
  <c r="Q43" i="1"/>
  <c r="Q44" i="1"/>
  <c r="Q45" i="1"/>
  <c r="Q46" i="1"/>
  <c r="Q47" i="1"/>
  <c r="Q38" i="1"/>
  <c r="P29" i="1"/>
  <c r="N14" i="1"/>
  <c r="V16" i="2"/>
  <c r="U16" i="2"/>
  <c r="AF16" i="2"/>
  <c r="Y16" i="2"/>
  <c r="X16" i="2"/>
  <c r="S16" i="2"/>
  <c r="T16" i="2"/>
  <c r="Z16" i="2"/>
  <c r="W16" i="2"/>
  <c r="R16" i="2"/>
  <c r="N16" i="2"/>
  <c r="M16" i="2"/>
  <c r="P16" i="2"/>
  <c r="O16" i="2"/>
  <c r="E16" i="2"/>
  <c r="D16" i="2"/>
  <c r="L16" i="2"/>
  <c r="H16" i="2"/>
  <c r="Q16" i="2"/>
  <c r="F16" i="2"/>
  <c r="G16" i="2"/>
  <c r="D8" i="1"/>
  <c r="D9" i="1"/>
  <c r="D10" i="1"/>
  <c r="I122" i="3" l="1"/>
  <c r="K126" i="3"/>
  <c r="J44" i="3"/>
  <c r="J122" i="3"/>
  <c r="K125" i="3"/>
  <c r="K44" i="3"/>
  <c r="J126" i="3"/>
  <c r="H123" i="3"/>
  <c r="I123" i="3"/>
  <c r="F43" i="3"/>
  <c r="G47" i="3"/>
  <c r="J123" i="3"/>
  <c r="F47" i="3"/>
  <c r="K46" i="3"/>
  <c r="K43" i="3"/>
  <c r="F46" i="3"/>
  <c r="J46" i="3"/>
  <c r="J43" i="3"/>
  <c r="F124" i="3"/>
  <c r="H124" i="3"/>
  <c r="J45" i="3"/>
  <c r="G123" i="3"/>
  <c r="J124" i="3"/>
  <c r="J125" i="3"/>
  <c r="H125" i="3"/>
  <c r="F123" i="3"/>
  <c r="I125" i="3"/>
  <c r="F126" i="3"/>
  <c r="G45" i="3"/>
  <c r="J47" i="3"/>
  <c r="I44" i="3"/>
  <c r="F122" i="3"/>
  <c r="H44" i="3"/>
  <c r="G44" i="3"/>
  <c r="K124" i="3"/>
  <c r="G84" i="3"/>
  <c r="H84" i="3"/>
  <c r="I84" i="3"/>
  <c r="G125" i="3"/>
  <c r="K45" i="3"/>
  <c r="G124" i="3"/>
  <c r="G122" i="3"/>
  <c r="G126" i="3"/>
  <c r="G87" i="3"/>
  <c r="J83" i="3"/>
  <c r="I87" i="3"/>
  <c r="H87" i="3"/>
  <c r="J84" i="3"/>
  <c r="J85" i="3"/>
  <c r="I83" i="3"/>
  <c r="F86" i="3"/>
  <c r="J86" i="3"/>
  <c r="J87" i="3"/>
  <c r="K87" i="3"/>
  <c r="H83" i="3"/>
  <c r="I85" i="3"/>
  <c r="G86" i="3"/>
  <c r="G85" i="3"/>
  <c r="H86" i="3"/>
  <c r="H85" i="3"/>
  <c r="F62" i="3"/>
  <c r="F75" i="3" s="1"/>
  <c r="F85" i="3" s="1"/>
  <c r="G83" i="3"/>
  <c r="F64" i="3"/>
  <c r="F77" i="3" s="1"/>
  <c r="F87" i="3" s="1"/>
  <c r="F60" i="3"/>
  <c r="F73" i="3" s="1"/>
  <c r="F83" i="3" s="1"/>
  <c r="F61" i="3"/>
  <c r="F74" i="3" s="1"/>
  <c r="F84" i="3" s="1"/>
  <c r="K60" i="3"/>
  <c r="K73" i="3" s="1"/>
  <c r="K83" i="3" s="1"/>
  <c r="K61" i="3"/>
  <c r="K74" i="3" s="1"/>
  <c r="K84" i="3" s="1"/>
  <c r="K62" i="3"/>
  <c r="K75" i="3" s="1"/>
  <c r="K85" i="3" s="1"/>
  <c r="K63" i="3"/>
  <c r="K76" i="3" s="1"/>
  <c r="K86" i="3" s="1"/>
  <c r="K16" i="2"/>
  <c r="C16" i="2"/>
  <c r="J16" i="2"/>
  <c r="I16" i="2"/>
  <c r="C4" i="2"/>
  <c r="M37" i="1" l="1"/>
  <c r="G37" i="1"/>
  <c r="M25" i="1"/>
  <c r="G25" i="1"/>
  <c r="E16" i="1"/>
  <c r="C19" i="1" s="1"/>
  <c r="D16" i="1"/>
  <c r="G9" i="1"/>
  <c r="F9" i="1"/>
  <c r="F8" i="1"/>
  <c r="F7" i="1"/>
  <c r="D7" i="1"/>
  <c r="D19" i="1" l="1"/>
  <c r="E19" i="1" s="1"/>
  <c r="O94" i="3"/>
  <c r="L96" i="3" s="1"/>
  <c r="J96" i="3" l="1"/>
  <c r="J94" i="3" s="1"/>
  <c r="J104" i="3" s="1"/>
  <c r="H96" i="3"/>
  <c r="K96" i="3"/>
  <c r="K94" i="3" s="1"/>
  <c r="K104" i="3" s="1"/>
  <c r="H94" i="3"/>
  <c r="H104" i="3" s="1"/>
  <c r="I96" i="3"/>
  <c r="I94" i="3" s="1"/>
  <c r="I104" i="3" s="1"/>
  <c r="J132" i="3"/>
  <c r="K132" i="3"/>
  <c r="O133" i="3"/>
  <c r="O132" i="3"/>
  <c r="H134" i="3" l="1"/>
  <c r="H132" i="3" s="1"/>
  <c r="I134" i="3"/>
  <c r="I132" i="3" s="1"/>
</calcChain>
</file>

<file path=xl/sharedStrings.xml><?xml version="1.0" encoding="utf-8"?>
<sst xmlns="http://schemas.openxmlformats.org/spreadsheetml/2006/main" count="299" uniqueCount="113">
  <si>
    <t>높이</t>
    <phoneticPr fontId="1" type="noConversion"/>
  </si>
  <si>
    <t>몇도</t>
    <phoneticPr fontId="1" type="noConversion"/>
  </si>
  <si>
    <t>L0/2</t>
    <phoneticPr fontId="1" type="noConversion"/>
  </si>
  <si>
    <t>D</t>
    <phoneticPr fontId="1" type="noConversion"/>
  </si>
  <si>
    <t>L0</t>
    <phoneticPr fontId="1" type="noConversion"/>
  </si>
  <si>
    <t>theta</t>
    <phoneticPr fontId="1" type="noConversion"/>
  </si>
  <si>
    <t>수정 모델 높이 계싼</t>
    <phoneticPr fontId="1" type="noConversion"/>
  </si>
  <si>
    <t>링 하나 높이</t>
    <phoneticPr fontId="1" type="noConversion"/>
  </si>
  <si>
    <t>링 + 상,하판 개수</t>
    <phoneticPr fontId="1" type="noConversion"/>
  </si>
  <si>
    <t>1층 높이</t>
    <phoneticPr fontId="1" type="noConversion"/>
  </si>
  <si>
    <t>1층 개수</t>
    <phoneticPr fontId="1" type="noConversion"/>
  </si>
  <si>
    <t>총 높이</t>
    <phoneticPr fontId="1" type="noConversion"/>
  </si>
  <si>
    <t>모델</t>
    <phoneticPr fontId="1" type="noConversion"/>
  </si>
  <si>
    <t>d (mm)</t>
    <phoneticPr fontId="1" type="noConversion"/>
  </si>
  <si>
    <t>사각형에 가까운 
팔각형 양방향</t>
    <phoneticPr fontId="1" type="noConversion"/>
  </si>
  <si>
    <t>옆면 초기각도 (deg)</t>
    <phoneticPr fontId="1" type="noConversion"/>
  </si>
  <si>
    <t>모델링 사진</t>
    <phoneticPr fontId="1" type="noConversion"/>
  </si>
  <si>
    <t>실제 모형 사진</t>
    <phoneticPr fontId="1" type="noConversion"/>
  </si>
  <si>
    <t>초기 높이 (mm)</t>
    <phoneticPr fontId="1" type="noConversion"/>
  </si>
  <si>
    <t>상단 단면적 (mm²)</t>
    <phoneticPr fontId="1" type="noConversion"/>
  </si>
  <si>
    <t>단면적 최대길이 (mm)</t>
    <phoneticPr fontId="1" type="noConversion"/>
  </si>
  <si>
    <t>내부 부피 (mm^3)</t>
    <phoneticPr fontId="1" type="noConversion"/>
  </si>
  <si>
    <t>탄성력[사람측정] (kg)</t>
  </si>
  <si>
    <t>접히는 부분 길이 (mm)</t>
    <phoneticPr fontId="1" type="noConversion"/>
  </si>
  <si>
    <t>구멍 다수</t>
    <phoneticPr fontId="1" type="noConversion"/>
  </si>
  <si>
    <t>좋음</t>
    <phoneticPr fontId="1" type="noConversion"/>
  </si>
  <si>
    <t>힘</t>
    <phoneticPr fontId="1" type="noConversion"/>
  </si>
  <si>
    <t>패턴 수 (층 수)</t>
    <phoneticPr fontId="1" type="noConversion"/>
  </si>
  <si>
    <t>D (mm)</t>
    <phoneticPr fontId="1" type="noConversion"/>
  </si>
  <si>
    <t>정팔각형 양방향
면적 2배</t>
    <phoneticPr fontId="1" type="noConversion"/>
  </si>
  <si>
    <t>정팔각형 양방향
초기</t>
    <phoneticPr fontId="1" type="noConversion"/>
  </si>
  <si>
    <t>정팔각형 양방향
d 최적화 60도</t>
    <phoneticPr fontId="1" type="noConversion"/>
  </si>
  <si>
    <t>정팔각형 양방향
d 최적화 55도</t>
    <phoneticPr fontId="1" type="noConversion"/>
  </si>
  <si>
    <t>정팔각형 양방향
10패턴</t>
    <phoneticPr fontId="1" type="noConversion"/>
  </si>
  <si>
    <t>정팔각형 양방향
3패턴</t>
    <phoneticPr fontId="1" type="noConversion"/>
  </si>
  <si>
    <t>프린터 출력물 품질</t>
  </si>
  <si>
    <t>좋음</t>
  </si>
  <si>
    <t>구멍 다수</t>
  </si>
  <si>
    <t>구멍 1~2개</t>
  </si>
  <si>
    <t>비고</t>
    <phoneticPr fontId="1" type="noConversion"/>
  </si>
  <si>
    <t>단면 최대 길이에 
비해 단면적이 작아
내부 부피가 작음. 
따라서 힘이 작음</t>
    <phoneticPr fontId="1" type="noConversion"/>
  </si>
  <si>
    <t>수축 시 안 접힘
단방향으로 바꾸고 
d를 최대한 줄여보면 
좋을 듯</t>
    <phoneticPr fontId="1" type="noConversion"/>
  </si>
  <si>
    <t>수축률 안 좋음
탄성력 너무 강함</t>
    <phoneticPr fontId="1" type="noConversion"/>
  </si>
  <si>
    <t>`</t>
    <phoneticPr fontId="1" type="noConversion"/>
  </si>
  <si>
    <t>정팔각형 단방향
초기</t>
    <phoneticPr fontId="1" type="noConversion"/>
  </si>
  <si>
    <t>정팔각형 단방향
d 최적화 60도</t>
    <phoneticPr fontId="1" type="noConversion"/>
  </si>
  <si>
    <t>정팔각형 단방향
d 최적화 45도</t>
    <phoneticPr fontId="1" type="noConversion"/>
  </si>
  <si>
    <t>정팔각형 단방향
d 최적화 55도</t>
    <phoneticPr fontId="1" type="noConversion"/>
  </si>
  <si>
    <t>정팔각형 단방향
d 최적화 50도</t>
    <phoneticPr fontId="1" type="noConversion"/>
  </si>
  <si>
    <t>프루사 설정</t>
    <phoneticPr fontId="1" type="noConversion"/>
  </si>
  <si>
    <t>초기 설정</t>
    <phoneticPr fontId="1" type="noConversion"/>
  </si>
  <si>
    <t>초기 설정시 
옆면 55도부터
구멍이 많이 생김</t>
    <phoneticPr fontId="1" type="noConversion"/>
  </si>
  <si>
    <t>우천으로 습도가 
높아 발생한 
구멍으로 추정</t>
    <phoneticPr fontId="1" type="noConversion"/>
  </si>
  <si>
    <t>설정2 (한 겹)</t>
    <phoneticPr fontId="1" type="noConversion"/>
  </si>
  <si>
    <t>이 출력물 이후로
프루사 출력 설정을
설정 2로 바꿈</t>
    <phoneticPr fontId="1" type="noConversion"/>
  </si>
  <si>
    <t>벽 두께 (mm)</t>
    <phoneticPr fontId="1" type="noConversion"/>
  </si>
  <si>
    <t>정팔각형 양방향
벽 두께 0.6</t>
    <phoneticPr fontId="1" type="noConversion"/>
  </si>
  <si>
    <t>정팔각형 단방향
벽 두께 0.6</t>
    <phoneticPr fontId="1" type="noConversion"/>
  </si>
  <si>
    <t>정팔각형 양방향
벽 두께 0.4</t>
    <phoneticPr fontId="1" type="noConversion"/>
  </si>
  <si>
    <t>정팔각형 단방향
벽 두께 0.4</t>
    <phoneticPr fontId="1" type="noConversion"/>
  </si>
  <si>
    <t>정팔각형 단방향
면적 2배</t>
    <phoneticPr fontId="1" type="noConversion"/>
  </si>
  <si>
    <t>설정3 (한겹)</t>
    <phoneticPr fontId="1" type="noConversion"/>
  </si>
  <si>
    <t>설정 2로 출력했는데
상단 기울어진 부분
부터 옆면이 무너
져서 설정3으로 바꿈</t>
    <phoneticPr fontId="1" type="noConversion"/>
  </si>
  <si>
    <t>구멍 한 두개</t>
    <phoneticPr fontId="1" type="noConversion"/>
  </si>
  <si>
    <t>정팔각형 단방향 
7패턴 벽 두께 0.6</t>
    <phoneticPr fontId="1" type="noConversion"/>
  </si>
  <si>
    <t>정팔각형 단방향 
3패턴 벽 두께 0.6</t>
    <phoneticPr fontId="1" type="noConversion"/>
  </si>
  <si>
    <t>정팔각형 단방향
면적 2배 벽 두께 0.6</t>
    <phoneticPr fontId="1" type="noConversion"/>
  </si>
  <si>
    <t>정팔각형 양방향
벽 두께 0.5</t>
    <phoneticPr fontId="1" type="noConversion"/>
  </si>
  <si>
    <t>정팔각형 단방향
벽 두께 0.5</t>
    <phoneticPr fontId="1" type="noConversion"/>
  </si>
  <si>
    <t>공압이 중간 정도로 잡힘</t>
    <phoneticPr fontId="1" type="noConversion"/>
  </si>
  <si>
    <t>공압 약간 잡힘
초기 설정보다 품질은 좋지만 탄성력이 강함</t>
    <phoneticPr fontId="1" type="noConversion"/>
  </si>
  <si>
    <t>h=(140-(n+1)*s)/n</t>
    <phoneticPr fontId="1" type="noConversion"/>
  </si>
  <si>
    <t>h</t>
    <phoneticPr fontId="1" type="noConversion"/>
  </si>
  <si>
    <t>층개수</t>
    <phoneticPr fontId="1" type="noConversion"/>
  </si>
  <si>
    <t>초기높이</t>
    <phoneticPr fontId="1" type="noConversion"/>
  </si>
  <si>
    <t>최대수축</t>
    <phoneticPr fontId="1" type="noConversion"/>
  </si>
  <si>
    <t>수축률</t>
    <phoneticPr fontId="1" type="noConversion"/>
  </si>
  <si>
    <t>변위</t>
    <phoneticPr fontId="1" type="noConversion"/>
  </si>
  <si>
    <t>현재</t>
    <phoneticPr fontId="1" type="noConversion"/>
  </si>
  <si>
    <t>자</t>
    <phoneticPr fontId="1" type="noConversion"/>
  </si>
  <si>
    <t>액추길이</t>
    <phoneticPr fontId="1" type="noConversion"/>
  </si>
  <si>
    <t>초기 길이</t>
    <phoneticPr fontId="1" type="noConversion"/>
  </si>
  <si>
    <t>늘렸을 때 기준 수축률</t>
    <phoneticPr fontId="1" type="noConversion"/>
  </si>
  <si>
    <t>1L</t>
    <phoneticPr fontId="1" type="noConversion"/>
  </si>
  <si>
    <t>0.87L</t>
    <phoneticPr fontId="1" type="noConversion"/>
  </si>
  <si>
    <t>0.75L</t>
    <phoneticPr fontId="1" type="noConversion"/>
  </si>
  <si>
    <t>0.63L</t>
    <phoneticPr fontId="1" type="noConversion"/>
  </si>
  <si>
    <t>0.5L</t>
    <phoneticPr fontId="1" type="noConversion"/>
  </si>
  <si>
    <t>1.08L</t>
    <phoneticPr fontId="1" type="noConversion"/>
  </si>
  <si>
    <t>길이</t>
    <phoneticPr fontId="1" type="noConversion"/>
  </si>
  <si>
    <t>압력</t>
    <phoneticPr fontId="1" type="noConversion"/>
  </si>
  <si>
    <t>무게(g)</t>
    <phoneticPr fontId="1" type="noConversion"/>
  </si>
  <si>
    <t>힘(N)</t>
    <phoneticPr fontId="1" type="noConversion"/>
  </si>
  <si>
    <t>압력(kPa)</t>
    <phoneticPr fontId="1" type="noConversion"/>
  </si>
  <si>
    <t>test2</t>
    <phoneticPr fontId="1" type="noConversion"/>
  </si>
  <si>
    <t>다시 탄성력 측정</t>
    <phoneticPr fontId="1" type="noConversion"/>
  </si>
  <si>
    <t>처음 측정</t>
    <phoneticPr fontId="1" type="noConversion"/>
  </si>
  <si>
    <t>0(초기화)</t>
    <phoneticPr fontId="1" type="noConversion"/>
  </si>
  <si>
    <t>탄성제외</t>
    <phoneticPr fontId="1" type="noConversion"/>
  </si>
  <si>
    <t>탄성 제외</t>
    <phoneticPr fontId="1" type="noConversion"/>
  </si>
  <si>
    <t>test3</t>
    <phoneticPr fontId="1" type="noConversion"/>
  </si>
  <si>
    <t>test1</t>
    <phoneticPr fontId="1" type="noConversion"/>
  </si>
  <si>
    <t>최대 수축</t>
    <phoneticPr fontId="1" type="noConversion"/>
  </si>
  <si>
    <t>최대 수축률</t>
    <phoneticPr fontId="1" type="noConversion"/>
  </si>
  <si>
    <t>test4</t>
    <phoneticPr fontId="1" type="noConversion"/>
  </si>
  <si>
    <t>설정3 (한겹)/단일출력</t>
    <phoneticPr fontId="1" type="noConversion"/>
  </si>
  <si>
    <t>최상</t>
    <phoneticPr fontId="1" type="noConversion"/>
  </si>
  <si>
    <t xml:space="preserve">정팔각형 단방향 변의 길이 0.5배 벽두께 0.6 단일출력 </t>
    <phoneticPr fontId="1" type="noConversion"/>
  </si>
  <si>
    <t xml:space="preserve">정팔각형 단방향 변의 길이 2배 벽 두께 0.6 단일출력 </t>
    <phoneticPr fontId="1" type="noConversion"/>
  </si>
  <si>
    <t>정팔각형 단방향 벽 두께 0.6 단일출력</t>
    <phoneticPr fontId="1" type="noConversion"/>
  </si>
  <si>
    <t>정팔각형 단방향 벽 두께 0.6 높이 2배 단일출력</t>
    <phoneticPr fontId="1" type="noConversion"/>
  </si>
  <si>
    <t>정팔각형 회전 벽 두께 0.6 단일출력</t>
    <phoneticPr fontId="1" type="noConversion"/>
  </si>
  <si>
    <t>-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</si>
</sst>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5700"/>
      <name val="맑은 고딕"/>
      <family val="2"/>
      <charset val="129"/>
      <scheme val="minor"/>
    </font>
    <font>
      <sz val="10"/>
      <color rgb="FF4E5B61"/>
      <name val="Arial Unicode MS"/>
      <family val="2"/>
    </font>
    <font>
      <sz val="8"/>
      <color rgb="FF4E5B61"/>
      <name val="Arial Unicode MS"/>
      <family val="2"/>
    </font>
    <font>
      <b/>
      <sz val="26"/>
      <color theme="1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  <fill>
      <patternFill patternType="solid">
        <fgColor theme="4" tint="0.39997558519241921"/>
        <bgColor indexed="65"/>
      </patternFill>
    </fill>
  </fills>
  <borders count="13">
    <border>
      <left/>
      <right/>
      <top/>
      <bottom/>
      <diagonal/>
    </border>
    <border>
      <left style="medium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5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0" fontId="9" fillId="6" borderId="0" applyNumberFormat="0" applyBorder="0" applyAlignment="0" applyProtection="0">
      <alignment vertical="center"/>
    </xf>
  </cellStyleXfs>
  <cellXfs count="32">
    <xf numFmtId="0" fontId="0" fillId="0" borderId="0" xfId="0">
      <alignment vertical="center"/>
    </xf>
    <xf numFmtId="0" fontId="3" fillId="3" borderId="1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2" borderId="5" xfId="1" applyFont="1" applyBorder="1" applyAlignment="1">
      <alignment horizontal="center" vertical="center"/>
    </xf>
    <xf numFmtId="0" fontId="3" fillId="2" borderId="6" xfId="1" applyFont="1" applyBorder="1" applyAlignment="1">
      <alignment horizontal="center" vertical="center" wrapText="1"/>
    </xf>
    <xf numFmtId="0" fontId="3" fillId="3" borderId="8" xfId="0" applyFont="1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3" fillId="2" borderId="5" xfId="1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2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3" fillId="2" borderId="7" xfId="1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4" fillId="4" borderId="0" xfId="2" applyBorder="1" applyAlignment="1">
      <alignment horizontal="center" vertical="center"/>
    </xf>
    <xf numFmtId="0" fontId="4" fillId="4" borderId="11" xfId="2" applyBorder="1" applyAlignment="1">
      <alignment horizontal="center" vertical="center"/>
    </xf>
    <xf numFmtId="0" fontId="2" fillId="2" borderId="0" xfId="1" applyBorder="1" applyAlignment="1">
      <alignment horizontal="center" vertical="center"/>
    </xf>
    <xf numFmtId="0" fontId="2" fillId="2" borderId="2" xfId="1" applyBorder="1" applyAlignment="1">
      <alignment horizontal="center" vertical="center"/>
    </xf>
    <xf numFmtId="0" fontId="4" fillId="4" borderId="2" xfId="2" applyBorder="1" applyAlignment="1">
      <alignment horizontal="center" vertical="center"/>
    </xf>
    <xf numFmtId="0" fontId="2" fillId="2" borderId="11" xfId="1" applyBorder="1" applyAlignment="1">
      <alignment horizontal="center" vertical="center"/>
    </xf>
    <xf numFmtId="0" fontId="4" fillId="4" borderId="0" xfId="2" applyAlignment="1">
      <alignment horizontal="center" vertical="center"/>
    </xf>
    <xf numFmtId="0" fontId="5" fillId="5" borderId="2" xfId="3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5" borderId="0" xfId="3" applyBorder="1" applyAlignment="1">
      <alignment horizontal="center" vertical="center"/>
    </xf>
    <xf numFmtId="0" fontId="5" fillId="5" borderId="11" xfId="3" applyBorder="1" applyAlignment="1">
      <alignment horizontal="center" vertical="center"/>
    </xf>
    <xf numFmtId="0" fontId="5" fillId="5" borderId="0" xfId="3" applyAlignment="1">
      <alignment horizontal="center"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8" fillId="0" borderId="0" xfId="0" applyFont="1">
      <alignment vertical="center"/>
    </xf>
    <xf numFmtId="0" fontId="9" fillId="6" borderId="0" xfId="4" applyBorder="1" applyAlignment="1">
      <alignment horizontal="center" vertical="center"/>
    </xf>
  </cellXfs>
  <cellStyles count="5">
    <cellStyle name="60% - 강조색1" xfId="4" builtinId="32"/>
    <cellStyle name="나쁨" xfId="1" builtinId="27"/>
    <cellStyle name="보통" xfId="3" builtinId="28"/>
    <cellStyle name="좋음" xfId="2" builtinId="2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접히는</a:t>
            </a:r>
            <a:r>
              <a:rPr lang="ko-KR" altLang="en-US" baseline="0"/>
              <a:t> 부분의 길이에 따른 액추에이터 벽면의 탄성력 경향성</a:t>
            </a:r>
            <a:endParaRPr lang="en-US" alt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232116260502699E-2"/>
          <c:y val="0.12118617189977798"/>
          <c:w val="0.89329394474491819"/>
          <c:h val="0.67286561089976116"/>
        </c:manualLayout>
      </c:layout>
      <c:scatterChart>
        <c:scatterStyle val="lineMarker"/>
        <c:varyColors val="0"/>
        <c:ser>
          <c:idx val="0"/>
          <c:order val="0"/>
          <c:tx>
            <c:v>벽 두께 0.8 mm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delete val="1"/>
            <c:extLst/>
          </c:dLbls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46626319863346682"/>
                  <c:y val="-0.2299280852304809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Sheet2!$C$5:$P$5</c:f>
              <c:numCache>
                <c:formatCode>General</c:formatCode>
                <c:ptCount val="14"/>
                <c:pt idx="0">
                  <c:v>14.874000000000001</c:v>
                </c:pt>
                <c:pt idx="1">
                  <c:v>6.7880000000000003</c:v>
                </c:pt>
                <c:pt idx="2">
                  <c:v>24.25</c:v>
                </c:pt>
                <c:pt idx="3">
                  <c:v>15.835000000000001</c:v>
                </c:pt>
                <c:pt idx="4">
                  <c:v>17.206</c:v>
                </c:pt>
                <c:pt idx="5">
                  <c:v>15.895</c:v>
                </c:pt>
                <c:pt idx="6">
                  <c:v>20.809000000000001</c:v>
                </c:pt>
                <c:pt idx="7">
                  <c:v>23.754000000000001</c:v>
                </c:pt>
                <c:pt idx="8">
                  <c:v>14.874000000000001</c:v>
                </c:pt>
                <c:pt idx="9">
                  <c:v>15.492000000000001</c:v>
                </c:pt>
                <c:pt idx="10">
                  <c:v>17.568000000000001</c:v>
                </c:pt>
                <c:pt idx="11">
                  <c:v>19.077999999999999</c:v>
                </c:pt>
                <c:pt idx="12">
                  <c:v>20.785</c:v>
                </c:pt>
                <c:pt idx="13">
                  <c:v>15.895</c:v>
                </c:pt>
              </c:numCache>
            </c:numRef>
          </c:xVal>
          <c:yVal>
            <c:numRef>
              <c:f>Sheet2!$C$15:$P$15</c:f>
              <c:numCache>
                <c:formatCode>General</c:formatCode>
                <c:ptCount val="14"/>
                <c:pt idx="0">
                  <c:v>2.06</c:v>
                </c:pt>
                <c:pt idx="1">
                  <c:v>3.8</c:v>
                </c:pt>
                <c:pt idx="2">
                  <c:v>1.4</c:v>
                </c:pt>
                <c:pt idx="3">
                  <c:v>1.87</c:v>
                </c:pt>
                <c:pt idx="4">
                  <c:v>1.94</c:v>
                </c:pt>
                <c:pt idx="5">
                  <c:v>2.04</c:v>
                </c:pt>
                <c:pt idx="6">
                  <c:v>1.86</c:v>
                </c:pt>
                <c:pt idx="7">
                  <c:v>1.67</c:v>
                </c:pt>
                <c:pt idx="8">
                  <c:v>1.96</c:v>
                </c:pt>
                <c:pt idx="9">
                  <c:v>1.82</c:v>
                </c:pt>
                <c:pt idx="10">
                  <c:v>1.71</c:v>
                </c:pt>
                <c:pt idx="11">
                  <c:v>1.65</c:v>
                </c:pt>
                <c:pt idx="12">
                  <c:v>1.6</c:v>
                </c:pt>
                <c:pt idx="13">
                  <c:v>1.88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2A4-43CE-A251-BC7386018926}"/>
            </c:ext>
          </c:extLst>
        </c:ser>
        <c:ser>
          <c:idx val="2"/>
          <c:order val="1"/>
          <c:tx>
            <c:v>벽 두께 0.6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delete val="1"/>
            <c:extLst/>
          </c:dLbls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55772251328125111"/>
                  <c:y val="-2.1822419951643159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Sheet2!$W$5:$AF$5</c:f>
              <c:numCache>
                <c:formatCode>General</c:formatCode>
                <c:ptCount val="10"/>
                <c:pt idx="0">
                  <c:v>15.727</c:v>
                </c:pt>
                <c:pt idx="1">
                  <c:v>15.727</c:v>
                </c:pt>
                <c:pt idx="2">
                  <c:v>10.465999999999999</c:v>
                </c:pt>
                <c:pt idx="3">
                  <c:v>27.175999999999998</c:v>
                </c:pt>
                <c:pt idx="4">
                  <c:v>15.781000000000001</c:v>
                </c:pt>
                <c:pt idx="5">
                  <c:v>28.095500000000001</c:v>
                </c:pt>
                <c:pt idx="6">
                  <c:v>31.081</c:v>
                </c:pt>
                <c:pt idx="7">
                  <c:v>15.944000000000001</c:v>
                </c:pt>
                <c:pt idx="8">
                  <c:v>23.591000000000001</c:v>
                </c:pt>
                <c:pt idx="9">
                  <c:v>15.840999999999999</c:v>
                </c:pt>
              </c:numCache>
            </c:numRef>
          </c:xVal>
          <c:yVal>
            <c:numRef>
              <c:f>Sheet2!$W$15:$AF$15</c:f>
              <c:numCache>
                <c:formatCode>General</c:formatCode>
                <c:ptCount val="10"/>
                <c:pt idx="0">
                  <c:v>1.06</c:v>
                </c:pt>
                <c:pt idx="1">
                  <c:v>1.04</c:v>
                </c:pt>
                <c:pt idx="2">
                  <c:v>1.36</c:v>
                </c:pt>
                <c:pt idx="3">
                  <c:v>0.87</c:v>
                </c:pt>
                <c:pt idx="4">
                  <c:v>1.2</c:v>
                </c:pt>
                <c:pt idx="5">
                  <c:v>1.1499999999999999</c:v>
                </c:pt>
                <c:pt idx="6">
                  <c:v>0.85</c:v>
                </c:pt>
                <c:pt idx="7">
                  <c:v>1.75</c:v>
                </c:pt>
                <c:pt idx="8">
                  <c:v>1.1599999999999999</c:v>
                </c:pt>
                <c:pt idx="9">
                  <c:v>1.24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E5-4593-8330-D635AF3A13DB}"/>
            </c:ext>
          </c:extLst>
        </c:ser>
        <c:ser>
          <c:idx val="1"/>
          <c:order val="2"/>
          <c:tx>
            <c:v>벽 두께 0.4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delete val="1"/>
            <c:extLst/>
          </c:dLbls>
          <c:xVal>
            <c:numRef>
              <c:f>Sheet2!$Q$5:$T$5</c:f>
              <c:numCache>
                <c:formatCode>General</c:formatCode>
                <c:ptCount val="4"/>
                <c:pt idx="0">
                  <c:v>15.727</c:v>
                </c:pt>
                <c:pt idx="1">
                  <c:v>15.727</c:v>
                </c:pt>
                <c:pt idx="2">
                  <c:v>15.727</c:v>
                </c:pt>
                <c:pt idx="3">
                  <c:v>15.727</c:v>
                </c:pt>
              </c:numCache>
            </c:numRef>
          </c:xVal>
          <c:yVal>
            <c:numRef>
              <c:f>Sheet2!$Q$15:$T$15</c:f>
              <c:numCache>
                <c:formatCode>General</c:formatCode>
                <c:ptCount val="4"/>
                <c:pt idx="0">
                  <c:v>0.23</c:v>
                </c:pt>
                <c:pt idx="1">
                  <c:v>0.23</c:v>
                </c:pt>
                <c:pt idx="2">
                  <c:v>0.39</c:v>
                </c:pt>
                <c:pt idx="3">
                  <c:v>0.43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2A4-43CE-A251-BC7386018926}"/>
            </c:ext>
          </c:extLst>
        </c:ser>
        <c:dLbls>
          <c:dLblPos val="l"/>
          <c:showLegendKey val="0"/>
          <c:showVal val="1"/>
          <c:showCatName val="0"/>
          <c:showSerName val="0"/>
          <c:showPercent val="0"/>
          <c:showBubbleSize val="0"/>
        </c:dLbls>
        <c:axId val="1637859663"/>
        <c:axId val="1443905151"/>
      </c:scatterChart>
      <c:valAx>
        <c:axId val="1637859663"/>
        <c:scaling>
          <c:orientation val="minMax"/>
          <c:max val="34"/>
          <c:min val="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접히는 부분 길이 </a:t>
                </a:r>
                <a:r>
                  <a:rPr lang="en-US" altLang="ko-KR" sz="1000" b="1" i="0" u="none" strike="noStrike" baseline="0">
                    <a:effectLst/>
                  </a:rPr>
                  <a:t>(mm)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cross"/>
        <c:minorTickMark val="cross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3905151"/>
        <c:crosses val="autoZero"/>
        <c:crossBetween val="midCat"/>
        <c:majorUnit val="1"/>
        <c:minorUnit val="0.5"/>
      </c:valAx>
      <c:valAx>
        <c:axId val="1443905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탄성력</a:t>
                </a:r>
                <a:r>
                  <a:rPr lang="en-US" altLang="ko-KR" sz="1000" b="1" i="0" u="none" strike="noStrike" baseline="0">
                    <a:effectLst/>
                  </a:rPr>
                  <a:t>[</a:t>
                </a:r>
                <a:r>
                  <a:rPr lang="ko-KR" altLang="en-US" sz="1000" b="1" i="0" u="none" strike="noStrike" baseline="0">
                    <a:effectLst/>
                  </a:rPr>
                  <a:t>사람측정</a:t>
                </a:r>
                <a:r>
                  <a:rPr lang="en-US" altLang="ko-KR" sz="1000" b="1" i="0" u="none" strike="noStrike" baseline="0">
                    <a:effectLst/>
                  </a:rPr>
                  <a:t>] (kg)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37859663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4.0533482559224024E-2"/>
          <c:y val="0.85196889714628365"/>
          <c:w val="0.26090281663868686"/>
          <c:h val="0.145534231388925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액추에이터의 높이 </a:t>
            </a:r>
            <a:r>
              <a:rPr lang="en-US" altLang="ko-KR"/>
              <a:t>h</a:t>
            </a:r>
            <a:r>
              <a:rPr lang="ko-KR" altLang="en-US"/>
              <a:t>에 따른 힘 경향성 </a:t>
            </a:r>
            <a:r>
              <a:rPr lang="en-US" altLang="ko-KR"/>
              <a:t>(D=27mm)</a:t>
            </a:r>
            <a:endParaRPr lang="ko-KR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ㅇㅇ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xVal>
            <c:numRef>
              <c:f>Sheet2!$L$22:$O$22</c:f>
              <c:numCache>
                <c:formatCode>General</c:formatCode>
                <c:ptCount val="4"/>
                <c:pt idx="0">
                  <c:v>16</c:v>
                </c:pt>
                <c:pt idx="1">
                  <c:v>24</c:v>
                </c:pt>
                <c:pt idx="2">
                  <c:v>42</c:v>
                </c:pt>
                <c:pt idx="3">
                  <c:v>48</c:v>
                </c:pt>
              </c:numCache>
            </c:numRef>
          </c:xVal>
          <c:yVal>
            <c:numRef>
              <c:f>Sheet2!$L$23:$O$23</c:f>
              <c:numCache>
                <c:formatCode>General</c:formatCode>
                <c:ptCount val="4"/>
                <c:pt idx="0">
                  <c:v>132.85387499999996</c:v>
                </c:pt>
                <c:pt idx="1">
                  <c:v>126.58654</c:v>
                </c:pt>
                <c:pt idx="2">
                  <c:v>114.65161315789474</c:v>
                </c:pt>
                <c:pt idx="3">
                  <c:v>111.37817954545456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8BF-465B-A205-9D0C6A453282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axId val="1983999551"/>
        <c:axId val="1984009151"/>
      </c:scatterChart>
      <c:valAx>
        <c:axId val="1983999551"/>
        <c:scaling>
          <c:orientation val="minMax"/>
          <c:max val="50"/>
          <c:min val="1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/>
                  <a:t>액추에이터의 한층의 높이</a:t>
                </a:r>
                <a:r>
                  <a:rPr lang="en-US" altLang="ko-KR"/>
                  <a:t>(h) [mm]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84009151"/>
        <c:crosses val="autoZero"/>
        <c:crossBetween val="midCat"/>
      </c:valAx>
      <c:valAx>
        <c:axId val="1984009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/>
                  <a:t>액추에이터의 힘</a:t>
                </a:r>
                <a:r>
                  <a:rPr lang="en-US" altLang="ko-KR"/>
                  <a:t>[N]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839995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한 변의 길이에 따른 액추에이터의 힘 경향성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power"/>
            <c:dispRSqr val="0"/>
            <c:dispEq val="1"/>
            <c:trendlineLbl>
              <c:layout>
                <c:manualLayout>
                  <c:x val="-0.19190877450279725"/>
                  <c:y val="4.7498502368115536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Sheet2!$Q$22:$T$22</c:f>
              <c:numCache>
                <c:formatCode>General</c:formatCode>
                <c:ptCount val="4"/>
                <c:pt idx="0">
                  <c:v>13.5</c:v>
                </c:pt>
                <c:pt idx="1">
                  <c:v>27</c:v>
                </c:pt>
                <c:pt idx="2">
                  <c:v>38.183999999999997</c:v>
                </c:pt>
                <c:pt idx="3">
                  <c:v>54</c:v>
                </c:pt>
              </c:numCache>
            </c:numRef>
          </c:xVal>
          <c:yVal>
            <c:numRef>
              <c:f>Sheet2!$Q$23:$T$23</c:f>
              <c:numCache>
                <c:formatCode>General</c:formatCode>
                <c:ptCount val="4"/>
                <c:pt idx="0">
                  <c:v>11.923914999999994</c:v>
                </c:pt>
                <c:pt idx="1">
                  <c:v>126.58654</c:v>
                </c:pt>
                <c:pt idx="2">
                  <c:v>283.70059249999997</c:v>
                </c:pt>
                <c:pt idx="3">
                  <c:v>937.43337499999996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7A7-4B9A-B98D-A2648B2499A0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axId val="1718451711"/>
        <c:axId val="1718444991"/>
      </c:scatterChart>
      <c:valAx>
        <c:axId val="17184517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/>
                  <a:t>정팔각형의 한변의 길이</a:t>
                </a:r>
                <a:r>
                  <a:rPr lang="en-US" altLang="ko-KR"/>
                  <a:t>(D) [mm]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718444991"/>
        <c:crosses val="autoZero"/>
        <c:crossBetween val="midCat"/>
      </c:valAx>
      <c:valAx>
        <c:axId val="1718444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/>
                  <a:t>액추에이터 힘</a:t>
                </a:r>
                <a:r>
                  <a:rPr lang="en-US" altLang="ko-KR"/>
                  <a:t>[N]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71845171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-50kPa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strRef>
              <c:f>Sheet3!$F$38:$K$38</c:f>
              <c:strCache>
                <c:ptCount val="6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</c:strCache>
            </c:strRef>
          </c:xVal>
          <c:yVal>
            <c:numRef>
              <c:f>Sheet3!$F$37:$K$37</c:f>
              <c:numCache>
                <c:formatCode>General</c:formatCode>
                <c:ptCount val="6"/>
                <c:pt idx="0">
                  <c:v>247.23440000000002</c:v>
                </c:pt>
                <c:pt idx="1">
                  <c:v>166.68820000000002</c:v>
                </c:pt>
                <c:pt idx="2">
                  <c:v>135.64179999999999</c:v>
                </c:pt>
                <c:pt idx="3">
                  <c:v>121.99040000000001</c:v>
                </c:pt>
                <c:pt idx="4">
                  <c:v>109.14260000000002</c:v>
                </c:pt>
                <c:pt idx="5">
                  <c:v>94.285800000000009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019-430F-A6C3-27DE7C2A1DDB}"/>
            </c:ext>
          </c:extLst>
        </c:ser>
        <c:ser>
          <c:idx val="1"/>
          <c:order val="1"/>
          <c:tx>
            <c:v>-40kPa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strRef>
              <c:f>Sheet3!$F$38:$L$38</c:f>
              <c:strCache>
                <c:ptCount val="7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  <c:pt idx="6">
                  <c:v>길이</c:v>
                </c:pt>
              </c:strCache>
            </c:strRef>
          </c:xVal>
          <c:yVal>
            <c:numRef>
              <c:f>Sheet3!$F$36:$K$36</c:f>
              <c:numCache>
                <c:formatCode>General</c:formatCode>
                <c:ptCount val="6"/>
                <c:pt idx="0">
                  <c:v>210.59220000000002</c:v>
                </c:pt>
                <c:pt idx="1">
                  <c:v>137.298</c:v>
                </c:pt>
                <c:pt idx="2">
                  <c:v>106.673</c:v>
                </c:pt>
                <c:pt idx="3">
                  <c:v>94.903199999999998</c:v>
                </c:pt>
                <c:pt idx="4">
                  <c:v>84.5642</c:v>
                </c:pt>
                <c:pt idx="5">
                  <c:v>74.029200000000003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019-430F-A6C3-27DE7C2A1D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7455519"/>
        <c:axId val="723059679"/>
      </c:scatterChart>
      <c:valAx>
        <c:axId val="6774555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3059679"/>
        <c:crosses val="autoZero"/>
        <c:crossBetween val="midCat"/>
      </c:valAx>
      <c:valAx>
        <c:axId val="7230596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7745551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9" Type="http://schemas.openxmlformats.org/officeDocument/2006/relationships/image" Target="../media/image38.png"/><Relationship Id="rId21" Type="http://schemas.openxmlformats.org/officeDocument/2006/relationships/image" Target="../media/image20.png"/><Relationship Id="rId34" Type="http://schemas.openxmlformats.org/officeDocument/2006/relationships/image" Target="../media/image33.jpeg"/><Relationship Id="rId42" Type="http://schemas.openxmlformats.org/officeDocument/2006/relationships/image" Target="../media/image41.png"/><Relationship Id="rId47" Type="http://schemas.openxmlformats.org/officeDocument/2006/relationships/image" Target="../media/image46.jpeg"/><Relationship Id="rId50" Type="http://schemas.openxmlformats.org/officeDocument/2006/relationships/image" Target="../media/image49.png"/><Relationship Id="rId55" Type="http://schemas.openxmlformats.org/officeDocument/2006/relationships/image" Target="../media/image54.jpe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9" Type="http://schemas.openxmlformats.org/officeDocument/2006/relationships/image" Target="../media/image28.png"/><Relationship Id="rId11" Type="http://schemas.openxmlformats.org/officeDocument/2006/relationships/image" Target="../media/image11.png"/><Relationship Id="rId24" Type="http://schemas.openxmlformats.org/officeDocument/2006/relationships/image" Target="../media/image23.jpeg"/><Relationship Id="rId32" Type="http://schemas.openxmlformats.org/officeDocument/2006/relationships/image" Target="../media/image31.jpeg"/><Relationship Id="rId37" Type="http://schemas.openxmlformats.org/officeDocument/2006/relationships/image" Target="../media/image36.jpeg"/><Relationship Id="rId40" Type="http://schemas.openxmlformats.org/officeDocument/2006/relationships/image" Target="../media/image39.jpeg"/><Relationship Id="rId45" Type="http://schemas.openxmlformats.org/officeDocument/2006/relationships/image" Target="../media/image44.png"/><Relationship Id="rId53" Type="http://schemas.openxmlformats.org/officeDocument/2006/relationships/image" Target="../media/image52.png"/><Relationship Id="rId58" Type="http://schemas.openxmlformats.org/officeDocument/2006/relationships/chart" Target="../charts/chart2.xml"/><Relationship Id="rId5" Type="http://schemas.openxmlformats.org/officeDocument/2006/relationships/image" Target="../media/image5.png"/><Relationship Id="rId19" Type="http://schemas.openxmlformats.org/officeDocument/2006/relationships/image" Target="../media/image18.jpe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chart" Target="../charts/chart1.xml"/><Relationship Id="rId22" Type="http://schemas.openxmlformats.org/officeDocument/2006/relationships/image" Target="../media/image21.jpeg"/><Relationship Id="rId27" Type="http://schemas.openxmlformats.org/officeDocument/2006/relationships/image" Target="../media/image26.jpeg"/><Relationship Id="rId30" Type="http://schemas.openxmlformats.org/officeDocument/2006/relationships/image" Target="../media/image29.jpeg"/><Relationship Id="rId35" Type="http://schemas.openxmlformats.org/officeDocument/2006/relationships/image" Target="../media/image34.png"/><Relationship Id="rId43" Type="http://schemas.openxmlformats.org/officeDocument/2006/relationships/image" Target="../media/image42.png"/><Relationship Id="rId48" Type="http://schemas.openxmlformats.org/officeDocument/2006/relationships/image" Target="../media/image47.jpeg"/><Relationship Id="rId56" Type="http://schemas.openxmlformats.org/officeDocument/2006/relationships/image" Target="../media/image55.jpeg"/><Relationship Id="rId8" Type="http://schemas.openxmlformats.org/officeDocument/2006/relationships/image" Target="../media/image8.png"/><Relationship Id="rId51" Type="http://schemas.openxmlformats.org/officeDocument/2006/relationships/image" Target="../media/image50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6.jpeg"/><Relationship Id="rId25" Type="http://schemas.openxmlformats.org/officeDocument/2006/relationships/image" Target="../media/image24.png"/><Relationship Id="rId33" Type="http://schemas.openxmlformats.org/officeDocument/2006/relationships/image" Target="../media/image32.jpeg"/><Relationship Id="rId38" Type="http://schemas.openxmlformats.org/officeDocument/2006/relationships/image" Target="../media/image37.jpeg"/><Relationship Id="rId46" Type="http://schemas.openxmlformats.org/officeDocument/2006/relationships/image" Target="../media/image45.jpeg"/><Relationship Id="rId59" Type="http://schemas.openxmlformats.org/officeDocument/2006/relationships/chart" Target="../charts/chart3.xml"/><Relationship Id="rId20" Type="http://schemas.openxmlformats.org/officeDocument/2006/relationships/image" Target="../media/image19.png"/><Relationship Id="rId41" Type="http://schemas.openxmlformats.org/officeDocument/2006/relationships/image" Target="../media/image40.png"/><Relationship Id="rId54" Type="http://schemas.openxmlformats.org/officeDocument/2006/relationships/image" Target="../media/image53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4.png"/><Relationship Id="rId23" Type="http://schemas.openxmlformats.org/officeDocument/2006/relationships/image" Target="../media/image22.jpeg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49" Type="http://schemas.openxmlformats.org/officeDocument/2006/relationships/image" Target="../media/image48.png"/><Relationship Id="rId57" Type="http://schemas.openxmlformats.org/officeDocument/2006/relationships/image" Target="../media/image56.jpeg"/><Relationship Id="rId10" Type="http://schemas.openxmlformats.org/officeDocument/2006/relationships/image" Target="../media/image10.png"/><Relationship Id="rId31" Type="http://schemas.openxmlformats.org/officeDocument/2006/relationships/image" Target="../media/image30.jpeg"/><Relationship Id="rId44" Type="http://schemas.openxmlformats.org/officeDocument/2006/relationships/image" Target="../media/image43.png"/><Relationship Id="rId52" Type="http://schemas.openxmlformats.org/officeDocument/2006/relationships/image" Target="../media/image5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7</xdr:row>
      <xdr:rowOff>10420</xdr:rowOff>
    </xdr:from>
    <xdr:to>
      <xdr:col>3</xdr:col>
      <xdr:colOff>0</xdr:colOff>
      <xdr:row>8</xdr:row>
      <xdr:rowOff>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C867AC4-0596-9543-004D-E82CB77B3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1214380"/>
          <a:ext cx="1348740" cy="114020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7</xdr:row>
      <xdr:rowOff>10654</xdr:rowOff>
    </xdr:from>
    <xdr:to>
      <xdr:col>10</xdr:col>
      <xdr:colOff>1</xdr:colOff>
      <xdr:row>8</xdr:row>
      <xdr:rowOff>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DD7D90C-12E4-2078-D174-66826BB99C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4261" y="1214614"/>
          <a:ext cx="1348740" cy="123140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</xdr:row>
      <xdr:rowOff>0</xdr:rowOff>
    </xdr:from>
    <xdr:to>
      <xdr:col>9</xdr:col>
      <xdr:colOff>1</xdr:colOff>
      <xdr:row>8</xdr:row>
      <xdr:rowOff>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7771994-CEE6-A64B-E578-78E23A0AA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5521" y="1203960"/>
          <a:ext cx="1348740" cy="1242060"/>
        </a:xfrm>
        <a:prstGeom prst="rect">
          <a:avLst/>
        </a:prstGeom>
      </xdr:spPr>
    </xdr:pic>
    <xdr:clientData/>
  </xdr:twoCellAnchor>
  <xdr:twoCellAnchor>
    <xdr:from>
      <xdr:col>2</xdr:col>
      <xdr:colOff>1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E3381E24-E561-BE59-ECA4-ED93E953BE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71" r="29877" b="17242"/>
        <a:stretch/>
      </xdr:blipFill>
      <xdr:spPr>
        <a:xfrm>
          <a:off x="2171701" y="2667000"/>
          <a:ext cx="1348739" cy="117348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8</xdr:row>
      <xdr:rowOff>0</xdr:rowOff>
    </xdr:from>
    <xdr:to>
      <xdr:col>9</xdr:col>
      <xdr:colOff>1</xdr:colOff>
      <xdr:row>9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6B484CF-F02F-DF97-739D-25A95ADBF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70321" y="266700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1</xdr:rowOff>
    </xdr:from>
    <xdr:to>
      <xdr:col>10</xdr:col>
      <xdr:colOff>0</xdr:colOff>
      <xdr:row>9</xdr:row>
      <xdr:rowOff>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5B55C6CF-CED6-D247-3F0B-37AAD84AA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19060" y="266700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</xdr:row>
      <xdr:rowOff>0</xdr:rowOff>
    </xdr:from>
    <xdr:to>
      <xdr:col>6</xdr:col>
      <xdr:colOff>1</xdr:colOff>
      <xdr:row>8</xdr:row>
      <xdr:rowOff>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B19257F-608B-D935-03C4-75D2F9486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0441" y="1424940"/>
          <a:ext cx="1348740" cy="1242060"/>
        </a:xfrm>
        <a:prstGeom prst="rect">
          <a:avLst/>
        </a:prstGeom>
      </xdr:spPr>
    </xdr:pic>
    <xdr:clientData/>
  </xdr:twoCellAnchor>
  <xdr:oneCellAnchor>
    <xdr:from>
      <xdr:col>10</xdr:col>
      <xdr:colOff>0</xdr:colOff>
      <xdr:row>7</xdr:row>
      <xdr:rowOff>0</xdr:rowOff>
    </xdr:from>
    <xdr:ext cx="1348740" cy="1242060"/>
    <xdr:pic>
      <xdr:nvPicPr>
        <xdr:cNvPr id="17" name="그림 16">
          <a:extLst>
            <a:ext uri="{FF2B5EF4-FFF2-40B4-BE49-F238E27FC236}">
              <a16:creationId xmlns:a16="http://schemas.microsoft.com/office/drawing/2014/main" id="{6CA89496-BFDB-4CD6-88CC-FAD0D3765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11402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10</xdr:col>
      <xdr:colOff>1</xdr:colOff>
      <xdr:row>8</xdr:row>
      <xdr:rowOff>7365</xdr:rowOff>
    </xdr:from>
    <xdr:ext cx="1348740" cy="1166115"/>
    <xdr:pic>
      <xdr:nvPicPr>
        <xdr:cNvPr id="18" name="그림 17">
          <a:extLst>
            <a:ext uri="{FF2B5EF4-FFF2-40B4-BE49-F238E27FC236}">
              <a16:creationId xmlns:a16="http://schemas.microsoft.com/office/drawing/2014/main" id="{9A4448E3-FBF4-455D-852A-74F9A6BB6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66421" y="2674365"/>
          <a:ext cx="1348740" cy="1166115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7</xdr:row>
      <xdr:rowOff>0</xdr:rowOff>
    </xdr:from>
    <xdr:to>
      <xdr:col>12</xdr:col>
      <xdr:colOff>0</xdr:colOff>
      <xdr:row>8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E4603F1B-3CCE-9C35-CE3D-FC37F9543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66420" y="1424940"/>
          <a:ext cx="1348740" cy="124206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31862F6-C2E8-42D3-88FD-E51F75F0B55B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1"/>
        <a:srcRect t="3482" b="3664"/>
        <a:stretch/>
      </xdr:blipFill>
      <xdr:spPr>
        <a:xfrm>
          <a:off x="6370320" y="1645920"/>
          <a:ext cx="1348740" cy="1242060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7</xdr:row>
      <xdr:rowOff>0</xdr:rowOff>
    </xdr:from>
    <xdr:ext cx="1348740" cy="1242060"/>
    <xdr:pic>
      <xdr:nvPicPr>
        <xdr:cNvPr id="12" name="그림 11">
          <a:extLst>
            <a:ext uri="{FF2B5EF4-FFF2-40B4-BE49-F238E27FC236}">
              <a16:creationId xmlns:a16="http://schemas.microsoft.com/office/drawing/2014/main" id="{64AB1E6D-2044-491D-BE50-BAB8EEC46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719060" y="164592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7</xdr:col>
      <xdr:colOff>1</xdr:colOff>
      <xdr:row>7</xdr:row>
      <xdr:rowOff>0</xdr:rowOff>
    </xdr:from>
    <xdr:to>
      <xdr:col>8</xdr:col>
      <xdr:colOff>1</xdr:colOff>
      <xdr:row>8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3E481BF-7E2C-A098-72E6-6399348DE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19061" y="1645920"/>
          <a:ext cx="1348740" cy="1242060"/>
        </a:xfrm>
        <a:prstGeom prst="rect">
          <a:avLst/>
        </a:prstGeom>
      </xdr:spPr>
    </xdr:pic>
    <xdr:clientData/>
  </xdr:twoCellAnchor>
  <xdr:twoCellAnchor>
    <xdr:from>
      <xdr:col>2</xdr:col>
      <xdr:colOff>369570</xdr:colOff>
      <xdr:row>21</xdr:row>
      <xdr:rowOff>95250</xdr:rowOff>
    </xdr:from>
    <xdr:to>
      <xdr:col>7</xdr:col>
      <xdr:colOff>434340</xdr:colOff>
      <xdr:row>44</xdr:row>
      <xdr:rowOff>99060</xdr:rowOff>
    </xdr:to>
    <xdr:graphicFrame macro="">
      <xdr:nvGraphicFramePr>
        <xdr:cNvPr id="28" name="차트 27">
          <a:extLst>
            <a:ext uri="{FF2B5EF4-FFF2-40B4-BE49-F238E27FC236}">
              <a16:creationId xmlns:a16="http://schemas.microsoft.com/office/drawing/2014/main" id="{915EE449-DF67-DF28-D099-5A69696453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oneCellAnchor>
    <xdr:from>
      <xdr:col>2</xdr:col>
      <xdr:colOff>1</xdr:colOff>
      <xdr:row>8</xdr:row>
      <xdr:rowOff>1</xdr:rowOff>
    </xdr:from>
    <xdr:ext cx="1348740" cy="1173480"/>
    <xdr:pic>
      <xdr:nvPicPr>
        <xdr:cNvPr id="29" name="그림 28">
          <a:extLst>
            <a:ext uri="{FF2B5EF4-FFF2-40B4-BE49-F238E27FC236}">
              <a16:creationId xmlns:a16="http://schemas.microsoft.com/office/drawing/2014/main" id="{60DC931B-B963-4894-9026-D7C196EA3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19061" y="2887981"/>
          <a:ext cx="1348740" cy="117348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7</xdr:row>
      <xdr:rowOff>0</xdr:rowOff>
    </xdr:from>
    <xdr:ext cx="1348740" cy="1242060"/>
    <xdr:pic>
      <xdr:nvPicPr>
        <xdr:cNvPr id="30" name="그림 29">
          <a:extLst>
            <a:ext uri="{FF2B5EF4-FFF2-40B4-BE49-F238E27FC236}">
              <a16:creationId xmlns:a16="http://schemas.microsoft.com/office/drawing/2014/main" id="{28C02E5B-B90D-41AF-A220-925C51E4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67801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8</xdr:row>
      <xdr:rowOff>0</xdr:rowOff>
    </xdr:from>
    <xdr:ext cx="1348740" cy="1173480"/>
    <xdr:pic>
      <xdr:nvPicPr>
        <xdr:cNvPr id="31" name="그림 30">
          <a:extLst>
            <a:ext uri="{FF2B5EF4-FFF2-40B4-BE49-F238E27FC236}">
              <a16:creationId xmlns:a16="http://schemas.microsoft.com/office/drawing/2014/main" id="{E9C18BDC-F831-4849-BC16-0A1111793B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61" t="29107" r="22745" b="7451"/>
        <a:stretch/>
      </xdr:blipFill>
      <xdr:spPr>
        <a:xfrm>
          <a:off x="9067801" y="2887980"/>
          <a:ext cx="1348740" cy="1173480"/>
        </a:xfrm>
        <a:prstGeom prst="rect">
          <a:avLst/>
        </a:prstGeom>
      </xdr:spPr>
    </xdr:pic>
    <xdr:clientData/>
  </xdr:oneCellAnchor>
  <xdr:oneCellAnchor>
    <xdr:from>
      <xdr:col>4</xdr:col>
      <xdr:colOff>1</xdr:colOff>
      <xdr:row>7</xdr:row>
      <xdr:rowOff>1</xdr:rowOff>
    </xdr:from>
    <xdr:ext cx="1348740" cy="1242060"/>
    <xdr:pic>
      <xdr:nvPicPr>
        <xdr:cNvPr id="32" name="그림 31">
          <a:extLst>
            <a:ext uri="{FF2B5EF4-FFF2-40B4-BE49-F238E27FC236}">
              <a16:creationId xmlns:a16="http://schemas.microsoft.com/office/drawing/2014/main" id="{6AADC0A9-33F5-478E-8A9E-537C63BEF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16541" y="1645921"/>
          <a:ext cx="1348740" cy="124206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8</xdr:row>
      <xdr:rowOff>1</xdr:rowOff>
    </xdr:from>
    <xdr:ext cx="1348740" cy="1173479"/>
    <xdr:pic>
      <xdr:nvPicPr>
        <xdr:cNvPr id="33" name="그림 32">
          <a:extLst>
            <a:ext uri="{FF2B5EF4-FFF2-40B4-BE49-F238E27FC236}">
              <a16:creationId xmlns:a16="http://schemas.microsoft.com/office/drawing/2014/main" id="{46D81269-DEC0-4355-99DF-2B33DC6D64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36" t="10632" r="27745" b="21046"/>
        <a:stretch/>
      </xdr:blipFill>
      <xdr:spPr>
        <a:xfrm>
          <a:off x="10416540" y="2887981"/>
          <a:ext cx="1348740" cy="1173479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7</xdr:row>
      <xdr:rowOff>0</xdr:rowOff>
    </xdr:from>
    <xdr:ext cx="1348740" cy="1242060"/>
    <xdr:pic>
      <xdr:nvPicPr>
        <xdr:cNvPr id="34" name="그림 33">
          <a:extLst>
            <a:ext uri="{FF2B5EF4-FFF2-40B4-BE49-F238E27FC236}">
              <a16:creationId xmlns:a16="http://schemas.microsoft.com/office/drawing/2014/main" id="{6E319193-47B5-4079-A3D5-B24A2B38F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857720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8</xdr:row>
      <xdr:rowOff>0</xdr:rowOff>
    </xdr:from>
    <xdr:ext cx="1379220" cy="1173480"/>
    <xdr:pic>
      <xdr:nvPicPr>
        <xdr:cNvPr id="35" name="그림 34">
          <a:extLst>
            <a:ext uri="{FF2B5EF4-FFF2-40B4-BE49-F238E27FC236}">
              <a16:creationId xmlns:a16="http://schemas.microsoft.com/office/drawing/2014/main" id="{631E8A76-B10C-4ECF-988C-C3B8EB686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508980" y="3108960"/>
          <a:ext cx="1379220" cy="1173480"/>
        </a:xfrm>
        <a:prstGeom prst="rect">
          <a:avLst/>
        </a:prstGeom>
      </xdr:spPr>
    </xdr:pic>
    <xdr:clientData/>
  </xdr:oneCellAnchor>
  <xdr:twoCellAnchor editAs="oneCell">
    <xdr:from>
      <xdr:col>15</xdr:col>
      <xdr:colOff>0</xdr:colOff>
      <xdr:row>8</xdr:row>
      <xdr:rowOff>0</xdr:rowOff>
    </xdr:from>
    <xdr:to>
      <xdr:col>16</xdr:col>
      <xdr:colOff>0</xdr:colOff>
      <xdr:row>9</xdr:row>
      <xdr:rowOff>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86560480-EF62-4466-63C5-866A241A8B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08" t="21961" r="21275" b="25578"/>
        <a:stretch/>
      </xdr:blipFill>
      <xdr:spPr>
        <a:xfrm>
          <a:off x="1985772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8</xdr:row>
      <xdr:rowOff>1</xdr:rowOff>
    </xdr:from>
    <xdr:to>
      <xdr:col>8</xdr:col>
      <xdr:colOff>1</xdr:colOff>
      <xdr:row>9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7AD70467-22DA-E793-6F77-B5E9080F1B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29456" r="25294" b="24183"/>
        <a:stretch/>
      </xdr:blipFill>
      <xdr:spPr>
        <a:xfrm>
          <a:off x="10416541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8</xdr:row>
      <xdr:rowOff>0</xdr:rowOff>
    </xdr:from>
    <xdr:to>
      <xdr:col>17</xdr:col>
      <xdr:colOff>0</xdr:colOff>
      <xdr:row>9</xdr:row>
      <xdr:rowOff>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3445327-05A3-364D-E482-09D535F654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29" t="18879" r="26734" b="22211"/>
        <a:stretch/>
      </xdr:blipFill>
      <xdr:spPr>
        <a:xfrm>
          <a:off x="2120646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</xdr:row>
      <xdr:rowOff>0</xdr:rowOff>
    </xdr:from>
    <xdr:to>
      <xdr:col>16</xdr:col>
      <xdr:colOff>4848</xdr:colOff>
      <xdr:row>8</xdr:row>
      <xdr:rowOff>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741715A6-4ED1-0881-77F8-3402B97BC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857720" y="164592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</xdr:row>
      <xdr:rowOff>0</xdr:rowOff>
    </xdr:from>
    <xdr:to>
      <xdr:col>20</xdr:col>
      <xdr:colOff>0</xdr:colOff>
      <xdr:row>8</xdr:row>
      <xdr:rowOff>0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5CE12B5C-0A7C-B6AB-1AE4-2CA53A569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EEF0DD8B-9CE1-1CBD-2B59-6BAE357074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47" t="20915" r="26961" b="25229"/>
        <a:stretch/>
      </xdr:blipFill>
      <xdr:spPr>
        <a:xfrm>
          <a:off x="7719060" y="288798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1</xdr:rowOff>
    </xdr:from>
    <xdr:to>
      <xdr:col>13</xdr:col>
      <xdr:colOff>0</xdr:colOff>
      <xdr:row>8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2273C88-CEB3-08B0-6A2C-1E574567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811500" y="164592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14</xdr:col>
      <xdr:colOff>0</xdr:colOff>
      <xdr:row>8</xdr:row>
      <xdr:rowOff>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80A003-0349-F7E7-7E9C-FCF254FB1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160240" y="164592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</xdr:row>
      <xdr:rowOff>0</xdr:rowOff>
    </xdr:from>
    <xdr:to>
      <xdr:col>14</xdr:col>
      <xdr:colOff>0</xdr:colOff>
      <xdr:row>9</xdr:row>
      <xdr:rowOff>19766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D4FC9B2-59D8-9066-4045-54E2EE0B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12" t="21612" r="31470" b="16863"/>
        <a:stretch/>
      </xdr:blipFill>
      <xdr:spPr>
        <a:xfrm>
          <a:off x="17160240" y="3108960"/>
          <a:ext cx="1348740" cy="119324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13</xdr:col>
      <xdr:colOff>0</xdr:colOff>
      <xdr:row>8</xdr:row>
      <xdr:rowOff>1173479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7808D4A-D5D3-3BAD-8525-0D3ED4B09A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804" t="18998" r="26667" b="19826"/>
        <a:stretch/>
      </xdr:blipFill>
      <xdr:spPr>
        <a:xfrm>
          <a:off x="15811500" y="3108960"/>
          <a:ext cx="1348740" cy="1173479"/>
        </a:xfrm>
        <a:prstGeom prst="rect">
          <a:avLst/>
        </a:prstGeom>
      </xdr:spPr>
    </xdr:pic>
    <xdr:clientData/>
  </xdr:twoCellAnchor>
  <xdr:oneCellAnchor>
    <xdr:from>
      <xdr:col>17</xdr:col>
      <xdr:colOff>1</xdr:colOff>
      <xdr:row>8</xdr:row>
      <xdr:rowOff>0</xdr:rowOff>
    </xdr:from>
    <xdr:ext cx="1348739" cy="1173480"/>
    <xdr:pic>
      <xdr:nvPicPr>
        <xdr:cNvPr id="10" name="그림 9">
          <a:extLst>
            <a:ext uri="{FF2B5EF4-FFF2-40B4-BE49-F238E27FC236}">
              <a16:creationId xmlns:a16="http://schemas.microsoft.com/office/drawing/2014/main" id="{ED3957CC-ED9A-48BE-85B4-E71856A55D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55" t="16383" r="29117" b="28716"/>
        <a:stretch/>
      </xdr:blipFill>
      <xdr:spPr>
        <a:xfrm>
          <a:off x="22555201" y="3108960"/>
          <a:ext cx="1348739" cy="1173480"/>
        </a:xfrm>
        <a:prstGeom prst="rect">
          <a:avLst/>
        </a:prstGeom>
      </xdr:spPr>
    </xdr:pic>
    <xdr:clientData/>
  </xdr:oneCellAnchor>
  <xdr:oneCellAnchor>
    <xdr:from>
      <xdr:col>17</xdr:col>
      <xdr:colOff>0</xdr:colOff>
      <xdr:row>7</xdr:row>
      <xdr:rowOff>0</xdr:rowOff>
    </xdr:from>
    <xdr:ext cx="1348740" cy="1242060"/>
    <xdr:pic>
      <xdr:nvPicPr>
        <xdr:cNvPr id="16" name="그림 15">
          <a:extLst>
            <a:ext uri="{FF2B5EF4-FFF2-40B4-BE49-F238E27FC236}">
              <a16:creationId xmlns:a16="http://schemas.microsoft.com/office/drawing/2014/main" id="{BA6400C4-FFBB-4DB3-94A5-F0D24C7D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525268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18</xdr:col>
      <xdr:colOff>0</xdr:colOff>
      <xdr:row>7</xdr:row>
      <xdr:rowOff>0</xdr:rowOff>
    </xdr:from>
    <xdr:ext cx="1348740" cy="1242060"/>
    <xdr:pic>
      <xdr:nvPicPr>
        <xdr:cNvPr id="22" name="그림 21">
          <a:extLst>
            <a:ext uri="{FF2B5EF4-FFF2-40B4-BE49-F238E27FC236}">
              <a16:creationId xmlns:a16="http://schemas.microsoft.com/office/drawing/2014/main" id="{3B8A733F-F166-417C-B756-8006E2A16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5</xdr:col>
      <xdr:colOff>1</xdr:colOff>
      <xdr:row>8</xdr:row>
      <xdr:rowOff>1</xdr:rowOff>
    </xdr:from>
    <xdr:to>
      <xdr:col>6</xdr:col>
      <xdr:colOff>1</xdr:colOff>
      <xdr:row>9</xdr:row>
      <xdr:rowOff>1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E50282AD-E162-386E-379B-54561CE02A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804" t="10632" r="30882" b="28715"/>
        <a:stretch/>
      </xdr:blipFill>
      <xdr:spPr>
        <a:xfrm>
          <a:off x="63703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</xdr:row>
      <xdr:rowOff>1</xdr:rowOff>
    </xdr:from>
    <xdr:to>
      <xdr:col>12</xdr:col>
      <xdr:colOff>0</xdr:colOff>
      <xdr:row>9</xdr:row>
      <xdr:rowOff>1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3AAB6C24-9450-26A1-55A4-8B48358B2A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078" t="23529" r="32353" b="26100"/>
        <a:stretch/>
      </xdr:blipFill>
      <xdr:spPr>
        <a:xfrm>
          <a:off x="144627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1</xdr:rowOff>
    </xdr:from>
    <xdr:to>
      <xdr:col>12</xdr:col>
      <xdr:colOff>0</xdr:colOff>
      <xdr:row>8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54146968-AD26-1896-AC95-5E093917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46276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0</xdr:rowOff>
    </xdr:from>
    <xdr:to>
      <xdr:col>23</xdr:col>
      <xdr:colOff>0</xdr:colOff>
      <xdr:row>8</xdr:row>
      <xdr:rowOff>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CA59D40B-A8A5-4653-4F90-7388BBC9A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95016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8</xdr:row>
      <xdr:rowOff>1</xdr:rowOff>
    </xdr:from>
    <xdr:to>
      <xdr:col>23</xdr:col>
      <xdr:colOff>0</xdr:colOff>
      <xdr:row>9</xdr:row>
      <xdr:rowOff>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B20124E2-7FDE-66F0-9D01-FAF7BC7B98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27" t="15916" r="29577" b="23605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</xdr:row>
      <xdr:rowOff>0</xdr:rowOff>
    </xdr:from>
    <xdr:to>
      <xdr:col>20</xdr:col>
      <xdr:colOff>0</xdr:colOff>
      <xdr:row>9</xdr:row>
      <xdr:rowOff>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B0EB81E-1882-9475-7D55-8845AF736E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12723" r="31078" b="24357"/>
        <a:stretch/>
      </xdr:blipFill>
      <xdr:spPr>
        <a:xfrm>
          <a:off x="26601420" y="3108960"/>
          <a:ext cx="1348740" cy="1173480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7</xdr:row>
      <xdr:rowOff>0</xdr:rowOff>
    </xdr:from>
    <xdr:ext cx="1348740" cy="1242060"/>
    <xdr:pic>
      <xdr:nvPicPr>
        <xdr:cNvPr id="8" name="그림 7">
          <a:extLst>
            <a:ext uri="{FF2B5EF4-FFF2-40B4-BE49-F238E27FC236}">
              <a16:creationId xmlns:a16="http://schemas.microsoft.com/office/drawing/2014/main" id="{DEA0B58E-CBE5-4832-8962-EAB5BA431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8</xdr:row>
      <xdr:rowOff>1</xdr:rowOff>
    </xdr:from>
    <xdr:ext cx="1348739" cy="1173480"/>
    <xdr:pic>
      <xdr:nvPicPr>
        <xdr:cNvPr id="24" name="그림 23">
          <a:extLst>
            <a:ext uri="{FF2B5EF4-FFF2-40B4-BE49-F238E27FC236}">
              <a16:creationId xmlns:a16="http://schemas.microsoft.com/office/drawing/2014/main" id="{77DA40C6-5A67-4328-83A8-F49D5BDD7B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980" t="19695" r="30784" b="22092"/>
        <a:stretch/>
      </xdr:blipFill>
      <xdr:spPr>
        <a:xfrm>
          <a:off x="30647640" y="3108961"/>
          <a:ext cx="1348739" cy="1173480"/>
        </a:xfrm>
        <a:prstGeom prst="rect">
          <a:avLst/>
        </a:prstGeom>
      </xdr:spPr>
    </xdr:pic>
    <xdr:clientData/>
  </xdr:oneCellAnchor>
  <xdr:twoCellAnchor editAs="oneCell">
    <xdr:from>
      <xdr:col>31</xdr:col>
      <xdr:colOff>0</xdr:colOff>
      <xdr:row>7</xdr:row>
      <xdr:rowOff>0</xdr:rowOff>
    </xdr:from>
    <xdr:to>
      <xdr:col>32</xdr:col>
      <xdr:colOff>4848</xdr:colOff>
      <xdr:row>8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B2D15AF-E600-D9A2-1479-9AACA8855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3345120" y="186690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7</xdr:row>
      <xdr:rowOff>0</xdr:rowOff>
    </xdr:from>
    <xdr:to>
      <xdr:col>25</xdr:col>
      <xdr:colOff>0</xdr:colOff>
      <xdr:row>8</xdr:row>
      <xdr:rowOff>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7749635C-ECD6-BAB0-E2CC-488CCC98E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7</xdr:row>
      <xdr:rowOff>1</xdr:rowOff>
    </xdr:from>
    <xdr:to>
      <xdr:col>26</xdr:col>
      <xdr:colOff>0</xdr:colOff>
      <xdr:row>8</xdr:row>
      <xdr:rowOff>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EC7F60B0-0CEA-AC10-9EC2-E715E2587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334512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</xdr:row>
      <xdr:rowOff>1</xdr:rowOff>
    </xdr:from>
    <xdr:to>
      <xdr:col>21</xdr:col>
      <xdr:colOff>0</xdr:colOff>
      <xdr:row>8</xdr:row>
      <xdr:rowOff>1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F33F4772-B418-099A-79A5-504DA600A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7950160" y="1866901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</xdr:row>
      <xdr:rowOff>0</xdr:rowOff>
    </xdr:from>
    <xdr:to>
      <xdr:col>22</xdr:col>
      <xdr:colOff>0</xdr:colOff>
      <xdr:row>8</xdr:row>
      <xdr:rowOff>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98A6808A-E99C-6034-6391-BC0D8191F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929890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</xdr:row>
      <xdr:rowOff>1219200</xdr:rowOff>
    </xdr:from>
    <xdr:to>
      <xdr:col>19</xdr:col>
      <xdr:colOff>4848</xdr:colOff>
      <xdr:row>9</xdr:row>
      <xdr:rowOff>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FDFE5D7A-729B-3429-64BD-26D788764B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706" t="14641" r="29510" b="22614"/>
        <a:stretch/>
      </xdr:blipFill>
      <xdr:spPr>
        <a:xfrm>
          <a:off x="23903940" y="3086100"/>
          <a:ext cx="1348739" cy="119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</xdr:colOff>
      <xdr:row>8</xdr:row>
      <xdr:rowOff>1</xdr:rowOff>
    </xdr:from>
    <xdr:to>
      <xdr:col>21</xdr:col>
      <xdr:colOff>1</xdr:colOff>
      <xdr:row>9</xdr:row>
      <xdr:rowOff>1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89BA7CB6-B0DD-E422-8725-C3C5EC62B3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96" t="15861" r="23040" b="19999"/>
        <a:stretch/>
      </xdr:blipFill>
      <xdr:spPr>
        <a:xfrm>
          <a:off x="266014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8</xdr:row>
      <xdr:rowOff>1</xdr:rowOff>
    </xdr:from>
    <xdr:to>
      <xdr:col>22</xdr:col>
      <xdr:colOff>0</xdr:colOff>
      <xdr:row>9</xdr:row>
      <xdr:rowOff>1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973C18C-EBE7-F872-B4CE-07617D2EE6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608" t="13944" r="26667" b="27494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29</xdr:col>
      <xdr:colOff>1</xdr:colOff>
      <xdr:row>7</xdr:row>
      <xdr:rowOff>1</xdr:rowOff>
    </xdr:from>
    <xdr:to>
      <xdr:col>30</xdr:col>
      <xdr:colOff>0</xdr:colOff>
      <xdr:row>8</xdr:row>
      <xdr:rowOff>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9F9A6F49-C8DF-BA4A-3784-370642155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7391341" y="2103121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</xdr:row>
      <xdr:rowOff>1</xdr:rowOff>
    </xdr:from>
    <xdr:to>
      <xdr:col>31</xdr:col>
      <xdr:colOff>0</xdr:colOff>
      <xdr:row>8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7DB2B5E3-EA36-CE73-5679-3AE58258E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8892480" y="210312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26</xdr:col>
      <xdr:colOff>1</xdr:colOff>
      <xdr:row>7</xdr:row>
      <xdr:rowOff>0</xdr:rowOff>
    </xdr:from>
    <xdr:to>
      <xdr:col>27</xdr:col>
      <xdr:colOff>0</xdr:colOff>
      <xdr:row>8</xdr:row>
      <xdr:rowOff>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AAF952D5-18B4-D5C0-0228-54B180376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4693861" y="210312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27</xdr:col>
      <xdr:colOff>1</xdr:colOff>
      <xdr:row>7</xdr:row>
      <xdr:rowOff>0</xdr:rowOff>
    </xdr:from>
    <xdr:to>
      <xdr:col>28</xdr:col>
      <xdr:colOff>1</xdr:colOff>
      <xdr:row>8</xdr:row>
      <xdr:rowOff>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CE38824F-E748-F895-8A53-30D3528842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6042601" y="210312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7</xdr:row>
      <xdr:rowOff>1</xdr:rowOff>
    </xdr:from>
    <xdr:to>
      <xdr:col>29</xdr:col>
      <xdr:colOff>0</xdr:colOff>
      <xdr:row>8</xdr:row>
      <xdr:rowOff>1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E05C793C-8191-CA68-2EDC-38B506657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7391340" y="2103121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8</xdr:row>
      <xdr:rowOff>1</xdr:rowOff>
    </xdr:from>
    <xdr:to>
      <xdr:col>27</xdr:col>
      <xdr:colOff>0</xdr:colOff>
      <xdr:row>9</xdr:row>
      <xdr:rowOff>1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69B3EFA9-9B77-56FD-6FBD-F26BC6FC77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97" t="13944" r="27745" b="20347"/>
        <a:stretch/>
      </xdr:blipFill>
      <xdr:spPr>
        <a:xfrm>
          <a:off x="34693860" y="33451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8</xdr:row>
      <xdr:rowOff>1</xdr:rowOff>
    </xdr:from>
    <xdr:to>
      <xdr:col>29</xdr:col>
      <xdr:colOff>0</xdr:colOff>
      <xdr:row>9</xdr:row>
      <xdr:rowOff>1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63A6369D-A2FF-F26E-3611-3B685F0123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118" t="9411" r="25784" b="8846"/>
        <a:stretch/>
      </xdr:blipFill>
      <xdr:spPr>
        <a:xfrm>
          <a:off x="37391340" y="33451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</xdr:row>
      <xdr:rowOff>1</xdr:rowOff>
    </xdr:from>
    <xdr:to>
      <xdr:col>30</xdr:col>
      <xdr:colOff>0</xdr:colOff>
      <xdr:row>9</xdr:row>
      <xdr:rowOff>1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F08D149C-ECDF-5D89-AE55-72DE5535AB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647" t="19347" r="34118" b="26623"/>
        <a:stretch/>
      </xdr:blipFill>
      <xdr:spPr>
        <a:xfrm>
          <a:off x="38740080" y="33451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8</xdr:row>
      <xdr:rowOff>0</xdr:rowOff>
    </xdr:from>
    <xdr:to>
      <xdr:col>32</xdr:col>
      <xdr:colOff>0</xdr:colOff>
      <xdr:row>8</xdr:row>
      <xdr:rowOff>1173479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57EABC9E-10B8-855C-5BA0-A89D60AF43A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215" t="2615" r="17451" b="19825"/>
        <a:stretch/>
      </xdr:blipFill>
      <xdr:spPr>
        <a:xfrm>
          <a:off x="41437560" y="3345180"/>
          <a:ext cx="1348740" cy="1173479"/>
        </a:xfrm>
        <a:prstGeom prst="rect">
          <a:avLst/>
        </a:prstGeom>
      </xdr:spPr>
    </xdr:pic>
    <xdr:clientData/>
  </xdr:twoCellAnchor>
  <xdr:twoCellAnchor>
    <xdr:from>
      <xdr:col>8</xdr:col>
      <xdr:colOff>71718</xdr:colOff>
      <xdr:row>23</xdr:row>
      <xdr:rowOff>89648</xdr:rowOff>
    </xdr:from>
    <xdr:to>
      <xdr:col>13</xdr:col>
      <xdr:colOff>251011</xdr:colOff>
      <xdr:row>43</xdr:row>
      <xdr:rowOff>62754</xdr:rowOff>
    </xdr:to>
    <xdr:graphicFrame macro="">
      <xdr:nvGraphicFramePr>
        <xdr:cNvPr id="54" name="차트 53">
          <a:extLst>
            <a:ext uri="{FF2B5EF4-FFF2-40B4-BE49-F238E27FC236}">
              <a16:creationId xmlns:a16="http://schemas.microsoft.com/office/drawing/2014/main" id="{5DB3A09D-76C0-E565-5DE8-9D23EEABE70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8"/>
        </a:graphicData>
      </a:graphic>
    </xdr:graphicFrame>
    <xdr:clientData/>
  </xdr:twoCellAnchor>
  <xdr:twoCellAnchor>
    <xdr:from>
      <xdr:col>13</xdr:col>
      <xdr:colOff>977152</xdr:colOff>
      <xdr:row>23</xdr:row>
      <xdr:rowOff>147919</xdr:rowOff>
    </xdr:from>
    <xdr:to>
      <xdr:col>18</xdr:col>
      <xdr:colOff>753034</xdr:colOff>
      <xdr:row>42</xdr:row>
      <xdr:rowOff>89647</xdr:rowOff>
    </xdr:to>
    <xdr:graphicFrame macro="">
      <xdr:nvGraphicFramePr>
        <xdr:cNvPr id="58" name="차트 57">
          <a:extLst>
            <a:ext uri="{FF2B5EF4-FFF2-40B4-BE49-F238E27FC236}">
              <a16:creationId xmlns:a16="http://schemas.microsoft.com/office/drawing/2014/main" id="{1DE8176A-B815-FBBD-E8B9-05F4E15FB6B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9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95250</xdr:colOff>
      <xdr:row>17</xdr:row>
      <xdr:rowOff>179070</xdr:rowOff>
    </xdr:from>
    <xdr:to>
      <xdr:col>20</xdr:col>
      <xdr:colOff>643890</xdr:colOff>
      <xdr:row>30</xdr:row>
      <xdr:rowOff>49530</xdr:rowOff>
    </xdr:to>
    <xdr:graphicFrame macro="">
      <xdr:nvGraphicFramePr>
        <xdr:cNvPr id="5" name="차트 4">
          <a:extLst>
            <a:ext uri="{FF2B5EF4-FFF2-40B4-BE49-F238E27FC236}">
              <a16:creationId xmlns:a16="http://schemas.microsoft.com/office/drawing/2014/main" id="{8B12B3A2-9918-C009-72EE-40554E861FC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7D50C6-F08C-4C42-890C-22FFD805B8F4}">
  <dimension ref="C4:Q47"/>
  <sheetViews>
    <sheetView topLeftCell="A4" workbookViewId="0">
      <selection activeCell="I51" sqref="I51"/>
    </sheetView>
  </sheetViews>
  <sheetFormatPr defaultRowHeight="17.399999999999999"/>
  <sheetData>
    <row r="4" spans="3:14">
      <c r="E4" t="s">
        <v>2</v>
      </c>
      <c r="F4">
        <v>13.856</v>
      </c>
    </row>
    <row r="6" spans="3:14">
      <c r="C6" t="s">
        <v>1</v>
      </c>
      <c r="F6" t="s">
        <v>0</v>
      </c>
    </row>
    <row r="7" spans="3:14">
      <c r="C7">
        <v>60</v>
      </c>
      <c r="D7">
        <f>PI()/3</f>
        <v>1.0471975511965976</v>
      </c>
      <c r="F7">
        <f>$F$4*SIN(D7)</f>
        <v>11.999647994837181</v>
      </c>
    </row>
    <row r="8" spans="3:14">
      <c r="C8">
        <v>30</v>
      </c>
      <c r="D8">
        <f>PI()/3/60*30</f>
        <v>0.52359877559829882</v>
      </c>
      <c r="F8">
        <f>$F$4*SIN(D8)</f>
        <v>6.927999999999999</v>
      </c>
    </row>
    <row r="9" spans="3:14">
      <c r="C9">
        <v>1</v>
      </c>
      <c r="D9">
        <f>PI()/3/60*1</f>
        <v>1.7453292519943295E-2</v>
      </c>
      <c r="F9">
        <f>$F$4*SIN(D9)</f>
        <v>0.24182054359500033</v>
      </c>
      <c r="G9">
        <f>F4*COS(D9)</f>
        <v>13.853889664086957</v>
      </c>
    </row>
    <row r="10" spans="3:14">
      <c r="C10">
        <v>10</v>
      </c>
      <c r="D10">
        <f>PI()/3/90*1</f>
        <v>1.1635528346628862E-2</v>
      </c>
    </row>
    <row r="14" spans="3:14">
      <c r="N14">
        <f>12/TAN(PI()/3)</f>
        <v>6.9282032302755114</v>
      </c>
    </row>
    <row r="15" spans="3:14">
      <c r="C15" t="s">
        <v>3</v>
      </c>
      <c r="D15" t="s">
        <v>4</v>
      </c>
      <c r="E15" t="s">
        <v>5</v>
      </c>
    </row>
    <row r="16" spans="3:14">
      <c r="C16">
        <v>27</v>
      </c>
      <c r="D16">
        <f>11.547*2+2</f>
        <v>25.094000000000001</v>
      </c>
      <c r="E16">
        <f>PI()/3/60*1</f>
        <v>1.7453292519943295E-2</v>
      </c>
    </row>
    <row r="19" spans="3:16">
      <c r="C19">
        <f>2*(C16^2)*D16*(1+2^0.5)*SIN(E16)/E16</f>
        <v>88324.472790781161</v>
      </c>
      <c r="D19">
        <f>2*C16*(D16^2)*(1-SIN(E16)*COS(E16)/E16)/E16</f>
        <v>395.63362646765324</v>
      </c>
      <c r="E19">
        <f>C19-D19</f>
        <v>87928.839164313511</v>
      </c>
    </row>
    <row r="23" spans="3:16">
      <c r="D23" t="s">
        <v>6</v>
      </c>
      <c r="J23" t="s">
        <v>6</v>
      </c>
    </row>
    <row r="24" spans="3:16">
      <c r="D24" t="s">
        <v>7</v>
      </c>
      <c r="G24" t="s">
        <v>11</v>
      </c>
      <c r="J24" t="s">
        <v>7</v>
      </c>
      <c r="M24" t="s">
        <v>11</v>
      </c>
    </row>
    <row r="25" spans="3:16">
      <c r="D25">
        <v>3.4</v>
      </c>
      <c r="G25">
        <f>D25*D27+D29*D31</f>
        <v>140.4</v>
      </c>
      <c r="J25">
        <v>3.4</v>
      </c>
      <c r="M25">
        <f>J25*J27+J29*J31</f>
        <v>141.4</v>
      </c>
    </row>
    <row r="26" spans="3:16">
      <c r="D26" t="s">
        <v>8</v>
      </c>
      <c r="J26" t="s">
        <v>8</v>
      </c>
    </row>
    <row r="27" spans="3:16">
      <c r="D27">
        <v>6</v>
      </c>
      <c r="J27">
        <v>11</v>
      </c>
    </row>
    <row r="28" spans="3:16">
      <c r="D28" t="s">
        <v>9</v>
      </c>
      <c r="J28" t="s">
        <v>9</v>
      </c>
    </row>
    <row r="29" spans="3:16">
      <c r="D29">
        <v>24</v>
      </c>
      <c r="J29">
        <v>10.4</v>
      </c>
      <c r="P29">
        <f>3.4*6+24*5</f>
        <v>140.4</v>
      </c>
    </row>
    <row r="30" spans="3:16">
      <c r="D30" t="s">
        <v>10</v>
      </c>
      <c r="J30" t="s">
        <v>10</v>
      </c>
    </row>
    <row r="31" spans="3:16">
      <c r="D31">
        <v>5</v>
      </c>
      <c r="J31">
        <v>10</v>
      </c>
    </row>
    <row r="34" spans="4:17">
      <c r="P34" t="s">
        <v>71</v>
      </c>
    </row>
    <row r="35" spans="4:17">
      <c r="D35" t="s">
        <v>6</v>
      </c>
      <c r="J35" t="s">
        <v>6</v>
      </c>
      <c r="P35" t="s">
        <v>43</v>
      </c>
    </row>
    <row r="36" spans="4:17">
      <c r="D36" t="s">
        <v>7</v>
      </c>
      <c r="G36" t="s">
        <v>11</v>
      </c>
      <c r="J36" t="s">
        <v>7</v>
      </c>
      <c r="M36" t="s">
        <v>11</v>
      </c>
      <c r="P36">
        <v>3.4</v>
      </c>
    </row>
    <row r="37" spans="4:17">
      <c r="D37">
        <v>3.4</v>
      </c>
      <c r="G37">
        <f>D37*D39+D41*D43</f>
        <v>139.6</v>
      </c>
      <c r="J37">
        <v>3.4</v>
      </c>
      <c r="M37">
        <f>J37*J39+J41*J43</f>
        <v>139.19999999999999</v>
      </c>
      <c r="P37" t="s">
        <v>73</v>
      </c>
      <c r="Q37" t="s">
        <v>72</v>
      </c>
    </row>
    <row r="38" spans="4:17">
      <c r="D38" t="s">
        <v>8</v>
      </c>
      <c r="J38" t="s">
        <v>8</v>
      </c>
      <c r="P38">
        <v>1</v>
      </c>
      <c r="Q38">
        <f>($P$29-(P38+1)*$P$36)/P38</f>
        <v>133.6</v>
      </c>
    </row>
    <row r="39" spans="4:17">
      <c r="D39">
        <v>4</v>
      </c>
      <c r="J39">
        <v>8</v>
      </c>
      <c r="P39">
        <v>2</v>
      </c>
      <c r="Q39">
        <f t="shared" ref="Q39:Q47" si="0">($P$29-(P39+1)*$P$36)/P39</f>
        <v>65.100000000000009</v>
      </c>
    </row>
    <row r="40" spans="4:17">
      <c r="D40" t="s">
        <v>9</v>
      </c>
      <c r="J40" t="s">
        <v>9</v>
      </c>
      <c r="P40">
        <v>3</v>
      </c>
      <c r="Q40">
        <f t="shared" si="0"/>
        <v>42.266666666666673</v>
      </c>
    </row>
    <row r="41" spans="4:17">
      <c r="D41">
        <v>42</v>
      </c>
      <c r="J41">
        <v>16</v>
      </c>
      <c r="P41">
        <v>4</v>
      </c>
      <c r="Q41">
        <f t="shared" si="0"/>
        <v>30.85</v>
      </c>
    </row>
    <row r="42" spans="4:17">
      <c r="D42" t="s">
        <v>10</v>
      </c>
      <c r="J42" t="s">
        <v>10</v>
      </c>
      <c r="P42">
        <v>5</v>
      </c>
      <c r="Q42">
        <f t="shared" si="0"/>
        <v>24</v>
      </c>
    </row>
    <row r="43" spans="4:17">
      <c r="D43">
        <v>3</v>
      </c>
      <c r="J43">
        <v>7</v>
      </c>
      <c r="P43">
        <v>6</v>
      </c>
      <c r="Q43">
        <f t="shared" si="0"/>
        <v>19.433333333333334</v>
      </c>
    </row>
    <row r="44" spans="4:17">
      <c r="P44">
        <v>7</v>
      </c>
      <c r="Q44">
        <f t="shared" si="0"/>
        <v>16.171428571428571</v>
      </c>
    </row>
    <row r="45" spans="4:17">
      <c r="P45">
        <v>8</v>
      </c>
      <c r="Q45">
        <f t="shared" si="0"/>
        <v>13.725000000000001</v>
      </c>
    </row>
    <row r="46" spans="4:17">
      <c r="P46">
        <v>9</v>
      </c>
      <c r="Q46">
        <f t="shared" si="0"/>
        <v>11.822222222222223</v>
      </c>
    </row>
    <row r="47" spans="4:17">
      <c r="P47">
        <v>10</v>
      </c>
      <c r="Q47">
        <f t="shared" si="0"/>
        <v>10.3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2A7DDF-D196-460D-9DDE-10D8C91D72FC}">
  <dimension ref="B1:AH38"/>
  <sheetViews>
    <sheetView tabSelected="1" topLeftCell="D4" zoomScale="85" zoomScaleNormal="85" workbookViewId="0">
      <selection activeCell="I15" sqref="I15"/>
    </sheetView>
  </sheetViews>
  <sheetFormatPr defaultRowHeight="17.399999999999999"/>
  <cols>
    <col min="2" max="2" width="21.69921875" customWidth="1"/>
    <col min="3" max="32" width="17.69921875" customWidth="1"/>
  </cols>
  <sheetData>
    <row r="1" spans="2:34" ht="18" thickBot="1"/>
    <row r="2" spans="2:34" ht="60.6" customHeight="1">
      <c r="B2" s="5" t="s">
        <v>12</v>
      </c>
      <c r="C2" s="6" t="s">
        <v>30</v>
      </c>
      <c r="D2" s="6" t="s">
        <v>33</v>
      </c>
      <c r="E2" s="6" t="s">
        <v>34</v>
      </c>
      <c r="F2" s="6" t="s">
        <v>31</v>
      </c>
      <c r="G2" s="6" t="s">
        <v>32</v>
      </c>
      <c r="H2" s="6" t="s">
        <v>29</v>
      </c>
      <c r="I2" s="9" t="s">
        <v>14</v>
      </c>
      <c r="J2" s="14" t="s">
        <v>14</v>
      </c>
      <c r="K2" s="9" t="s">
        <v>44</v>
      </c>
      <c r="L2" s="6" t="s">
        <v>45</v>
      </c>
      <c r="M2" s="6" t="s">
        <v>47</v>
      </c>
      <c r="N2" s="6" t="s">
        <v>48</v>
      </c>
      <c r="O2" s="6" t="s">
        <v>46</v>
      </c>
      <c r="P2" s="6" t="s">
        <v>60</v>
      </c>
      <c r="Q2" s="9" t="s">
        <v>58</v>
      </c>
      <c r="R2" s="14" t="s">
        <v>59</v>
      </c>
      <c r="S2" s="9" t="s">
        <v>58</v>
      </c>
      <c r="T2" s="14" t="s">
        <v>59</v>
      </c>
      <c r="U2" s="9" t="s">
        <v>67</v>
      </c>
      <c r="V2" s="14" t="s">
        <v>68</v>
      </c>
      <c r="W2" s="9" t="s">
        <v>56</v>
      </c>
      <c r="X2" s="6" t="s">
        <v>57</v>
      </c>
      <c r="Y2" s="6" t="s">
        <v>64</v>
      </c>
      <c r="Z2" s="6" t="s">
        <v>65</v>
      </c>
      <c r="AA2" s="6" t="s">
        <v>109</v>
      </c>
      <c r="AB2" s="6" t="s">
        <v>111</v>
      </c>
      <c r="AC2" s="6" t="s">
        <v>110</v>
      </c>
      <c r="AD2" s="6" t="s">
        <v>107</v>
      </c>
      <c r="AE2" s="6" t="s">
        <v>108</v>
      </c>
      <c r="AF2" s="14" t="s">
        <v>66</v>
      </c>
    </row>
    <row r="3" spans="2:34">
      <c r="B3" s="3" t="s">
        <v>15</v>
      </c>
      <c r="C3" s="24">
        <v>60</v>
      </c>
      <c r="D3" s="24">
        <v>60</v>
      </c>
      <c r="E3" s="24">
        <v>60</v>
      </c>
      <c r="F3" s="24">
        <v>60</v>
      </c>
      <c r="G3" s="24">
        <v>55</v>
      </c>
      <c r="H3" s="24">
        <v>60</v>
      </c>
      <c r="I3" s="10">
        <v>46</v>
      </c>
      <c r="J3" s="2">
        <v>40</v>
      </c>
      <c r="K3" s="10">
        <v>60</v>
      </c>
      <c r="L3" s="24">
        <v>60</v>
      </c>
      <c r="M3" s="24">
        <v>55</v>
      </c>
      <c r="N3" s="24">
        <v>50</v>
      </c>
      <c r="O3" s="24">
        <v>45</v>
      </c>
      <c r="P3" s="24">
        <v>60</v>
      </c>
      <c r="Q3" s="10">
        <v>60</v>
      </c>
      <c r="R3" s="2">
        <v>60</v>
      </c>
      <c r="S3" s="10">
        <v>60</v>
      </c>
      <c r="T3" s="2">
        <v>60</v>
      </c>
      <c r="U3" s="10">
        <v>60</v>
      </c>
      <c r="V3" s="2">
        <v>60</v>
      </c>
      <c r="W3" s="10">
        <v>60</v>
      </c>
      <c r="X3" s="24">
        <v>60</v>
      </c>
      <c r="Y3" s="24">
        <v>60</v>
      </c>
      <c r="Z3" s="24">
        <v>60</v>
      </c>
      <c r="AA3" s="24">
        <v>60</v>
      </c>
      <c r="AB3" s="24">
        <v>60</v>
      </c>
      <c r="AC3" s="24">
        <v>60</v>
      </c>
      <c r="AD3" s="24">
        <v>60</v>
      </c>
      <c r="AE3" s="24">
        <v>60</v>
      </c>
      <c r="AF3" s="2">
        <v>60</v>
      </c>
    </row>
    <row r="4" spans="2:34">
      <c r="B4" s="1" t="s">
        <v>13</v>
      </c>
      <c r="C4" s="24">
        <f>10.218</f>
        <v>10.218</v>
      </c>
      <c r="D4" s="24">
        <v>18.936</v>
      </c>
      <c r="E4" s="24">
        <v>10.218</v>
      </c>
      <c r="F4" s="24">
        <v>7</v>
      </c>
      <c r="G4" s="24">
        <v>3</v>
      </c>
      <c r="H4" s="24">
        <v>18</v>
      </c>
      <c r="I4" s="10">
        <v>10</v>
      </c>
      <c r="J4" s="2">
        <v>3</v>
      </c>
      <c r="K4" s="10">
        <v>10.218</v>
      </c>
      <c r="L4" s="24">
        <v>7</v>
      </c>
      <c r="M4" s="24">
        <v>2</v>
      </c>
      <c r="N4" s="24">
        <v>-2</v>
      </c>
      <c r="O4" s="24">
        <v>-8</v>
      </c>
      <c r="P4" s="24">
        <v>18</v>
      </c>
      <c r="Q4" s="10">
        <v>7</v>
      </c>
      <c r="R4" s="2">
        <v>7</v>
      </c>
      <c r="S4" s="10">
        <v>7</v>
      </c>
      <c r="T4" s="2">
        <v>7</v>
      </c>
      <c r="U4" s="10">
        <v>7</v>
      </c>
      <c r="V4" s="2">
        <v>7</v>
      </c>
      <c r="W4" s="10">
        <v>7</v>
      </c>
      <c r="X4" s="24">
        <v>7</v>
      </c>
      <c r="Y4" s="24">
        <v>14</v>
      </c>
      <c r="Z4" s="24">
        <v>-7</v>
      </c>
      <c r="AA4" s="24">
        <v>7</v>
      </c>
      <c r="AB4" s="24" t="s">
        <v>112</v>
      </c>
      <c r="AC4" s="24">
        <v>-12</v>
      </c>
      <c r="AD4" s="24">
        <v>-7</v>
      </c>
      <c r="AE4" s="24">
        <v>24</v>
      </c>
      <c r="AF4" s="2">
        <v>18</v>
      </c>
    </row>
    <row r="5" spans="2:34">
      <c r="B5" s="1" t="s">
        <v>23</v>
      </c>
      <c r="C5" s="24">
        <v>14.874000000000001</v>
      </c>
      <c r="D5" s="24">
        <v>6.7880000000000003</v>
      </c>
      <c r="E5" s="24">
        <v>24.25</v>
      </c>
      <c r="F5" s="24">
        <v>15.835000000000001</v>
      </c>
      <c r="G5" s="24">
        <v>17.206</v>
      </c>
      <c r="H5" s="24">
        <v>15.895</v>
      </c>
      <c r="I5" s="10">
        <v>20.809000000000001</v>
      </c>
      <c r="J5" s="2">
        <v>23.754000000000001</v>
      </c>
      <c r="K5" s="10">
        <v>14.874000000000001</v>
      </c>
      <c r="L5" s="24">
        <v>15.492000000000001</v>
      </c>
      <c r="M5" s="24">
        <v>17.568000000000001</v>
      </c>
      <c r="N5" s="24">
        <v>19.077999999999999</v>
      </c>
      <c r="O5" s="24">
        <v>20.785</v>
      </c>
      <c r="P5" s="24">
        <v>15.895</v>
      </c>
      <c r="Q5" s="10">
        <v>15.727</v>
      </c>
      <c r="R5" s="2">
        <v>15.727</v>
      </c>
      <c r="S5" s="10">
        <v>15.727</v>
      </c>
      <c r="T5" s="2">
        <v>15.727</v>
      </c>
      <c r="U5" s="10">
        <v>15.727</v>
      </c>
      <c r="V5" s="2">
        <v>15.727</v>
      </c>
      <c r="W5" s="10">
        <v>15.727</v>
      </c>
      <c r="X5" s="24">
        <v>15.727</v>
      </c>
      <c r="Y5" s="24">
        <v>10.465999999999999</v>
      </c>
      <c r="Z5" s="24">
        <v>27.175999999999998</v>
      </c>
      <c r="AA5" s="24">
        <v>15.781000000000001</v>
      </c>
      <c r="AB5" s="24">
        <f>56.191 /2</f>
        <v>28.095500000000001</v>
      </c>
      <c r="AC5" s="24">
        <v>31.081</v>
      </c>
      <c r="AD5" s="24">
        <v>15.944000000000001</v>
      </c>
      <c r="AE5" s="24">
        <v>23.591000000000001</v>
      </c>
      <c r="AF5" s="2">
        <v>15.840999999999999</v>
      </c>
    </row>
    <row r="6" spans="2:34">
      <c r="B6" s="1" t="s">
        <v>28</v>
      </c>
      <c r="C6" s="24">
        <v>27</v>
      </c>
      <c r="D6" s="24">
        <v>27</v>
      </c>
      <c r="E6" s="24">
        <v>27</v>
      </c>
      <c r="F6" s="24">
        <v>27</v>
      </c>
      <c r="G6" s="24">
        <v>27</v>
      </c>
      <c r="H6" s="24">
        <v>38.183999999999997</v>
      </c>
      <c r="I6" s="10">
        <v>43.337000000000003</v>
      </c>
      <c r="J6" s="2">
        <v>43.337000000000003</v>
      </c>
      <c r="K6" s="10">
        <v>27</v>
      </c>
      <c r="L6" s="24">
        <v>27</v>
      </c>
      <c r="M6" s="24">
        <v>27</v>
      </c>
      <c r="N6" s="24">
        <v>27</v>
      </c>
      <c r="O6" s="24">
        <v>27</v>
      </c>
      <c r="P6" s="24">
        <v>38.183999999999997</v>
      </c>
      <c r="Q6" s="10">
        <v>27</v>
      </c>
      <c r="R6" s="2">
        <v>27</v>
      </c>
      <c r="S6" s="10">
        <v>27</v>
      </c>
      <c r="T6" s="2">
        <v>27</v>
      </c>
      <c r="U6" s="10">
        <v>27</v>
      </c>
      <c r="V6" s="2">
        <v>27</v>
      </c>
      <c r="W6" s="10">
        <v>27</v>
      </c>
      <c r="X6" s="24">
        <v>27</v>
      </c>
      <c r="Y6" s="24">
        <v>27</v>
      </c>
      <c r="Z6" s="24">
        <v>27</v>
      </c>
      <c r="AA6" s="24">
        <v>27</v>
      </c>
      <c r="AB6" s="24">
        <v>27</v>
      </c>
      <c r="AC6" s="24">
        <v>27</v>
      </c>
      <c r="AD6" s="24">
        <v>13.5</v>
      </c>
      <c r="AE6" s="24">
        <v>54</v>
      </c>
      <c r="AF6" s="2">
        <v>38.183999999999997</v>
      </c>
    </row>
    <row r="7" spans="2:34">
      <c r="B7" s="1" t="s">
        <v>55</v>
      </c>
      <c r="C7" s="24">
        <v>0.8</v>
      </c>
      <c r="D7" s="24">
        <v>0.8</v>
      </c>
      <c r="E7" s="24">
        <v>0.8</v>
      </c>
      <c r="F7" s="24">
        <v>0.8</v>
      </c>
      <c r="G7" s="24">
        <v>0.8</v>
      </c>
      <c r="H7" s="24">
        <v>0.8</v>
      </c>
      <c r="I7" s="10">
        <v>0.8</v>
      </c>
      <c r="J7" s="2">
        <v>0.8</v>
      </c>
      <c r="K7" s="24">
        <v>0.8</v>
      </c>
      <c r="L7" s="24">
        <v>0.8</v>
      </c>
      <c r="M7" s="24">
        <v>0.8</v>
      </c>
      <c r="N7" s="24">
        <v>0.8</v>
      </c>
      <c r="O7" s="24">
        <v>0.8</v>
      </c>
      <c r="P7" s="24">
        <v>0.8</v>
      </c>
      <c r="Q7" s="10">
        <v>0.4</v>
      </c>
      <c r="R7" s="2">
        <v>0.4</v>
      </c>
      <c r="S7" s="10">
        <v>0.4</v>
      </c>
      <c r="T7" s="2">
        <v>0.4</v>
      </c>
      <c r="U7" s="24">
        <v>0.5</v>
      </c>
      <c r="V7" s="24">
        <v>0.5</v>
      </c>
      <c r="W7" s="10">
        <v>0.6</v>
      </c>
      <c r="X7" s="24">
        <v>0.6</v>
      </c>
      <c r="Y7" s="24">
        <v>0.6</v>
      </c>
      <c r="Z7" s="24">
        <v>0.6</v>
      </c>
      <c r="AA7" s="24">
        <v>0.6</v>
      </c>
      <c r="AB7" s="24">
        <v>0.6</v>
      </c>
      <c r="AC7" s="24">
        <v>0.6</v>
      </c>
      <c r="AD7" s="24">
        <v>0.6</v>
      </c>
      <c r="AE7" s="24">
        <v>0.6</v>
      </c>
      <c r="AF7" s="2">
        <v>0.6</v>
      </c>
    </row>
    <row r="8" spans="2:34" ht="97.8" customHeight="1">
      <c r="B8" s="1" t="s">
        <v>16</v>
      </c>
      <c r="C8" s="24"/>
      <c r="D8" s="24"/>
      <c r="E8" s="24"/>
      <c r="F8" s="24"/>
      <c r="G8" s="24"/>
      <c r="H8" s="24"/>
      <c r="I8" s="10"/>
      <c r="J8" s="2"/>
      <c r="K8" s="10"/>
      <c r="L8" s="24"/>
      <c r="M8" s="24"/>
      <c r="N8" s="24"/>
      <c r="O8" s="24"/>
      <c r="P8" s="24"/>
      <c r="Q8" s="10"/>
      <c r="R8" s="2"/>
      <c r="S8" s="10"/>
      <c r="T8" s="2"/>
      <c r="U8" s="24"/>
      <c r="V8" s="24"/>
      <c r="W8" s="10"/>
      <c r="X8" s="24"/>
      <c r="Y8" s="24"/>
      <c r="Z8" s="24"/>
      <c r="AA8" s="24"/>
      <c r="AB8" s="24"/>
      <c r="AC8" s="24"/>
      <c r="AD8" s="24"/>
      <c r="AE8" s="24"/>
      <c r="AF8" s="2"/>
    </row>
    <row r="9" spans="2:34" ht="92.4" customHeight="1">
      <c r="B9" s="1" t="s">
        <v>17</v>
      </c>
      <c r="C9" s="24"/>
      <c r="D9" s="24"/>
      <c r="E9" s="24"/>
      <c r="F9" s="24"/>
      <c r="G9" s="24"/>
      <c r="H9" s="24"/>
      <c r="I9" s="10"/>
      <c r="J9" s="2"/>
      <c r="K9" s="10"/>
      <c r="L9" s="24"/>
      <c r="M9" s="24"/>
      <c r="N9" s="24"/>
      <c r="O9" s="24"/>
      <c r="P9" s="24"/>
      <c r="Q9" s="10"/>
      <c r="R9" s="2" t="s">
        <v>43</v>
      </c>
      <c r="S9" s="10"/>
      <c r="T9" s="2" t="s">
        <v>43</v>
      </c>
      <c r="U9" s="24"/>
      <c r="V9" s="24"/>
      <c r="W9" s="10"/>
      <c r="X9" s="24" t="s">
        <v>43</v>
      </c>
      <c r="Y9" s="24"/>
      <c r="Z9" s="24" t="s">
        <v>43</v>
      </c>
      <c r="AA9" s="24"/>
      <c r="AB9" s="24"/>
      <c r="AC9" s="24"/>
      <c r="AD9" s="24"/>
      <c r="AE9" s="24"/>
      <c r="AF9" s="2"/>
    </row>
    <row r="10" spans="2:34">
      <c r="B10" s="1" t="s">
        <v>18</v>
      </c>
      <c r="C10" s="24">
        <v>24</v>
      </c>
      <c r="D10" s="24">
        <v>10.4</v>
      </c>
      <c r="E10" s="24">
        <v>42</v>
      </c>
      <c r="F10" s="24">
        <v>24</v>
      </c>
      <c r="G10" s="24">
        <v>24</v>
      </c>
      <c r="H10" s="24">
        <v>24</v>
      </c>
      <c r="I10" s="10">
        <v>24</v>
      </c>
      <c r="J10" s="2">
        <v>24</v>
      </c>
      <c r="K10" s="10">
        <v>24</v>
      </c>
      <c r="L10" s="24">
        <v>24</v>
      </c>
      <c r="M10" s="24">
        <v>24</v>
      </c>
      <c r="N10" s="24">
        <v>24</v>
      </c>
      <c r="O10" s="24">
        <v>24</v>
      </c>
      <c r="P10" s="24">
        <v>24</v>
      </c>
      <c r="Q10" s="10">
        <v>24</v>
      </c>
      <c r="R10" s="2">
        <v>24</v>
      </c>
      <c r="S10" s="10">
        <v>24</v>
      </c>
      <c r="T10" s="2">
        <v>24</v>
      </c>
      <c r="U10" s="10">
        <v>24</v>
      </c>
      <c r="V10" s="2">
        <v>24</v>
      </c>
      <c r="W10" s="10">
        <v>24</v>
      </c>
      <c r="X10" s="24">
        <v>24</v>
      </c>
      <c r="Y10" s="24">
        <v>16</v>
      </c>
      <c r="Z10" s="24">
        <v>42</v>
      </c>
      <c r="AA10" s="24">
        <v>24</v>
      </c>
      <c r="AB10" s="24">
        <v>24</v>
      </c>
      <c r="AC10" s="24">
        <v>48</v>
      </c>
      <c r="AD10" s="24">
        <v>24</v>
      </c>
      <c r="AE10" s="24">
        <v>24</v>
      </c>
      <c r="AF10" s="2">
        <v>24</v>
      </c>
    </row>
    <row r="11" spans="2:34">
      <c r="B11" s="1" t="s">
        <v>27</v>
      </c>
      <c r="C11" s="24">
        <v>5</v>
      </c>
      <c r="D11" s="24">
        <v>10</v>
      </c>
      <c r="E11" s="24">
        <v>3</v>
      </c>
      <c r="F11" s="24">
        <v>5</v>
      </c>
      <c r="G11" s="24">
        <v>5</v>
      </c>
      <c r="H11" s="24">
        <v>5</v>
      </c>
      <c r="I11" s="10">
        <v>5</v>
      </c>
      <c r="J11" s="2">
        <v>5</v>
      </c>
      <c r="K11" s="10">
        <v>5</v>
      </c>
      <c r="L11" s="24">
        <v>5</v>
      </c>
      <c r="M11" s="24">
        <v>5</v>
      </c>
      <c r="N11" s="24">
        <v>5</v>
      </c>
      <c r="O11" s="24">
        <v>5</v>
      </c>
      <c r="P11" s="24">
        <v>5</v>
      </c>
      <c r="Q11" s="10">
        <v>5</v>
      </c>
      <c r="R11" s="2">
        <v>5</v>
      </c>
      <c r="S11" s="10">
        <v>5</v>
      </c>
      <c r="T11" s="2">
        <v>5</v>
      </c>
      <c r="U11" s="10">
        <v>5</v>
      </c>
      <c r="V11" s="2">
        <v>5</v>
      </c>
      <c r="W11" s="10">
        <v>5</v>
      </c>
      <c r="X11" s="24">
        <v>5</v>
      </c>
      <c r="Y11" s="24">
        <v>7</v>
      </c>
      <c r="Z11" s="24">
        <v>3</v>
      </c>
      <c r="AA11" s="24">
        <v>5</v>
      </c>
      <c r="AB11" s="24">
        <v>5</v>
      </c>
      <c r="AC11" s="24"/>
      <c r="AD11" s="24">
        <v>5</v>
      </c>
      <c r="AE11" s="24">
        <v>5</v>
      </c>
      <c r="AF11" s="2">
        <v>5</v>
      </c>
    </row>
    <row r="12" spans="2:34">
      <c r="B12" s="1" t="s">
        <v>19</v>
      </c>
      <c r="C12" s="24">
        <v>3519.9229999999998</v>
      </c>
      <c r="D12" s="24">
        <v>3519.9229999999998</v>
      </c>
      <c r="E12" s="24">
        <v>3519.9229999999998</v>
      </c>
      <c r="F12" s="24">
        <v>3519.9229999999998</v>
      </c>
      <c r="G12" s="24">
        <v>3519.9229999999998</v>
      </c>
      <c r="H12" s="24">
        <v>7039.933</v>
      </c>
      <c r="I12" s="10">
        <v>2898.1680000000001</v>
      </c>
      <c r="J12" s="2">
        <v>2898.1680000000001</v>
      </c>
      <c r="K12" s="10">
        <v>3519.9229999999998</v>
      </c>
      <c r="L12" s="24">
        <v>3519.9229999999998</v>
      </c>
      <c r="M12" s="24">
        <v>3519.9229999999998</v>
      </c>
      <c r="N12" s="24">
        <v>3519.9229999999998</v>
      </c>
      <c r="O12" s="24">
        <v>3519.9229999999998</v>
      </c>
      <c r="P12" s="24">
        <v>7039.933</v>
      </c>
      <c r="Q12" s="10">
        <v>3519.9229999999998</v>
      </c>
      <c r="R12" s="2">
        <v>3519.9229999999998</v>
      </c>
      <c r="S12" s="10">
        <v>3519.9229999999998</v>
      </c>
      <c r="T12" s="2">
        <v>3519.9229999999998</v>
      </c>
      <c r="U12" s="10">
        <v>3519.9229999999998</v>
      </c>
      <c r="V12" s="2">
        <v>3519.9229999999998</v>
      </c>
      <c r="W12" s="10">
        <v>3519.9229999999998</v>
      </c>
      <c r="X12" s="24">
        <v>3519.9229999999998</v>
      </c>
      <c r="Y12" s="24">
        <v>3519.9229999999998</v>
      </c>
      <c r="Z12" s="24">
        <v>3519.9229999999998</v>
      </c>
      <c r="AA12" s="24">
        <v>3519.9229999999998</v>
      </c>
      <c r="AB12" s="24">
        <v>3519.9229999999998</v>
      </c>
      <c r="AC12" s="24">
        <v>3519.9229999999998</v>
      </c>
      <c r="AD12" s="24">
        <v>879.98099999999999</v>
      </c>
      <c r="AE12" s="24">
        <v>14079.692999999999</v>
      </c>
      <c r="AF12" s="2">
        <v>7039.933</v>
      </c>
    </row>
    <row r="13" spans="2:34">
      <c r="B13" s="1" t="s">
        <v>20</v>
      </c>
      <c r="C13" s="24">
        <v>70.554000000000002</v>
      </c>
      <c r="D13" s="24">
        <v>70.554000000000002</v>
      </c>
      <c r="E13" s="24">
        <v>70.554000000000002</v>
      </c>
      <c r="F13" s="24">
        <v>70.554000000000002</v>
      </c>
      <c r="G13" s="24">
        <v>70.554000000000002</v>
      </c>
      <c r="H13" s="24">
        <v>99.78</v>
      </c>
      <c r="I13" s="10">
        <v>69.552000000000007</v>
      </c>
      <c r="J13" s="2">
        <v>69.552000000000007</v>
      </c>
      <c r="K13" s="10">
        <v>70.554000000000002</v>
      </c>
      <c r="L13" s="24">
        <v>70.554000000000002</v>
      </c>
      <c r="M13" s="24">
        <v>70.554000000000002</v>
      </c>
      <c r="N13" s="24">
        <v>70.554000000000002</v>
      </c>
      <c r="O13" s="24">
        <v>70.554000000000002</v>
      </c>
      <c r="P13" s="24">
        <v>99.78</v>
      </c>
      <c r="Q13" s="10">
        <v>70.554000000000002</v>
      </c>
      <c r="R13" s="2">
        <v>70.554000000000002</v>
      </c>
      <c r="S13" s="10">
        <v>70.554000000000002</v>
      </c>
      <c r="T13" s="2">
        <v>70.554000000000002</v>
      </c>
      <c r="U13" s="10">
        <v>70.554000000000002</v>
      </c>
      <c r="V13" s="2">
        <v>70.554000000000002</v>
      </c>
      <c r="W13" s="10">
        <v>70.554000000000002</v>
      </c>
      <c r="X13" s="24">
        <v>70.554000000000002</v>
      </c>
      <c r="Y13" s="24">
        <v>70.554000000000002</v>
      </c>
      <c r="Z13" s="24">
        <v>70.554000000000002</v>
      </c>
      <c r="AA13" s="24">
        <v>70.554000000000002</v>
      </c>
      <c r="AB13" s="24">
        <v>70.554000000000002</v>
      </c>
      <c r="AC13" s="24">
        <v>70.554000000000002</v>
      </c>
      <c r="AD13" s="24">
        <v>35.277000000000001</v>
      </c>
      <c r="AE13" s="24">
        <v>141.10900000000001</v>
      </c>
      <c r="AF13" s="2">
        <v>99.78</v>
      </c>
    </row>
    <row r="14" spans="2:34">
      <c r="B14" s="1" t="s">
        <v>21</v>
      </c>
      <c r="C14" s="24">
        <v>68768.214999999997</v>
      </c>
      <c r="D14" s="24">
        <v>33473.42</v>
      </c>
      <c r="E14" s="24">
        <v>100295.898</v>
      </c>
      <c r="F14" s="24">
        <v>69418.308000000005</v>
      </c>
      <c r="G14" s="24">
        <v>67671.183000000005</v>
      </c>
      <c r="H14" s="24">
        <v>146500.769</v>
      </c>
      <c r="I14" s="10">
        <v>53886.618000000002</v>
      </c>
      <c r="J14" s="2">
        <v>52172.614999999998</v>
      </c>
      <c r="K14" s="10">
        <v>68768.214999999997</v>
      </c>
      <c r="L14" s="24">
        <v>69418.308000000005</v>
      </c>
      <c r="M14" s="24">
        <v>67161.638999999996</v>
      </c>
      <c r="N14" s="24">
        <v>64478.580999999998</v>
      </c>
      <c r="O14" s="24">
        <v>62206.161</v>
      </c>
      <c r="P14" s="24">
        <v>146500.769</v>
      </c>
      <c r="Q14" s="10">
        <v>69418.308000000005</v>
      </c>
      <c r="R14" s="2">
        <v>69418.308000000005</v>
      </c>
      <c r="S14" s="10">
        <v>69418.308000000005</v>
      </c>
      <c r="T14" s="2">
        <v>69418.308000000005</v>
      </c>
      <c r="U14" s="10">
        <v>69418.308000000005</v>
      </c>
      <c r="V14" s="2">
        <v>69418.308000000005</v>
      </c>
      <c r="W14" s="10">
        <v>69418.308000000005</v>
      </c>
      <c r="X14" s="24">
        <v>69418.308000000005</v>
      </c>
      <c r="Y14" s="24">
        <v>49163.341999999997</v>
      </c>
      <c r="Z14" s="24">
        <v>107694.678</v>
      </c>
      <c r="AA14" s="24">
        <v>69418.308000000005</v>
      </c>
      <c r="AB14" s="24">
        <v>67982.774000000005</v>
      </c>
      <c r="AC14" s="24">
        <v>119422.89</v>
      </c>
      <c r="AD14" s="24">
        <v>15149.49</v>
      </c>
      <c r="AE14" s="24">
        <v>435839.32199999999</v>
      </c>
      <c r="AF14" s="2">
        <v>146500.769</v>
      </c>
    </row>
    <row r="15" spans="2:34">
      <c r="B15" s="1" t="s">
        <v>22</v>
      </c>
      <c r="C15" s="24">
        <v>2.06</v>
      </c>
      <c r="D15" s="24">
        <v>3.8</v>
      </c>
      <c r="E15" s="24">
        <v>1.4</v>
      </c>
      <c r="F15" s="24">
        <v>1.87</v>
      </c>
      <c r="G15" s="24">
        <v>1.94</v>
      </c>
      <c r="H15" s="24">
        <v>2.04</v>
      </c>
      <c r="I15" s="10">
        <v>1.86</v>
      </c>
      <c r="J15" s="2">
        <v>1.67</v>
      </c>
      <c r="K15" s="10">
        <v>1.96</v>
      </c>
      <c r="L15" s="24">
        <v>1.82</v>
      </c>
      <c r="M15" s="24">
        <v>1.71</v>
      </c>
      <c r="N15" s="24">
        <v>1.65</v>
      </c>
      <c r="O15" s="24">
        <v>1.6</v>
      </c>
      <c r="P15" s="24">
        <v>1.88</v>
      </c>
      <c r="Q15" s="10">
        <v>0.23</v>
      </c>
      <c r="R15" s="2">
        <v>0.23</v>
      </c>
      <c r="S15" s="10">
        <v>0.39</v>
      </c>
      <c r="T15" s="2">
        <v>0.43</v>
      </c>
      <c r="U15" s="24">
        <v>0.68</v>
      </c>
      <c r="V15" s="24">
        <v>0.68</v>
      </c>
      <c r="W15" s="10">
        <v>1.06</v>
      </c>
      <c r="X15" s="24">
        <v>1.04</v>
      </c>
      <c r="Y15" s="24">
        <v>1.36</v>
      </c>
      <c r="Z15" s="24">
        <v>0.87</v>
      </c>
      <c r="AA15" s="24">
        <v>1.2</v>
      </c>
      <c r="AB15" s="24">
        <v>1.1499999999999999</v>
      </c>
      <c r="AC15" s="24">
        <v>0.85</v>
      </c>
      <c r="AD15" s="24">
        <v>1.75</v>
      </c>
      <c r="AE15" s="24">
        <v>1.1599999999999999</v>
      </c>
      <c r="AF15" s="2">
        <v>1.24</v>
      </c>
    </row>
    <row r="16" spans="2:34">
      <c r="B16" s="4" t="s">
        <v>26</v>
      </c>
      <c r="C16" s="16">
        <f t="shared" ref="C16:L16" si="0">50*(C14-C12*6)/(C10-6)/1000-C15*9.8</f>
        <v>112.16943611111107</v>
      </c>
      <c r="D16" s="18">
        <f t="shared" si="0"/>
        <v>103.14502272727267</v>
      </c>
      <c r="E16" s="18">
        <f t="shared" si="0"/>
        <v>96.247166666666672</v>
      </c>
      <c r="F16" s="16">
        <f t="shared" si="0"/>
        <v>115.83725</v>
      </c>
      <c r="G16" s="16">
        <f t="shared" si="0"/>
        <v>110.298125</v>
      </c>
      <c r="H16" s="16">
        <f t="shared" si="0"/>
        <v>269.62236388888886</v>
      </c>
      <c r="I16" s="21">
        <f t="shared" si="0"/>
        <v>83.15424999999999</v>
      </c>
      <c r="J16" s="19">
        <f t="shared" si="0"/>
        <v>80.255130555555539</v>
      </c>
      <c r="K16" s="17">
        <f t="shared" si="0"/>
        <v>113.14943611111107</v>
      </c>
      <c r="L16" s="16">
        <f t="shared" si="0"/>
        <v>116.32725000000001</v>
      </c>
      <c r="M16" s="16">
        <f t="shared" ref="M16" si="1">50*(M14-M12*6)/(M10-6)/1000-M15*9.8</f>
        <v>111.136725</v>
      </c>
      <c r="N16" s="24">
        <f t="shared" ref="N16" si="2">50*(N14-N12*6)/(N10-6)/1000-N15*9.8</f>
        <v>104.27178611111111</v>
      </c>
      <c r="O16" s="24">
        <f t="shared" ref="O16:R16" si="3">50*(O14-O12*6)/(O10-6)/1000-O15*9.8</f>
        <v>98.449508333333327</v>
      </c>
      <c r="P16" s="16">
        <f t="shared" si="3"/>
        <v>271.1903638888889</v>
      </c>
      <c r="Q16" s="17">
        <f t="shared" si="3"/>
        <v>131.90925000000001</v>
      </c>
      <c r="R16" s="20">
        <f t="shared" si="3"/>
        <v>131.90925000000001</v>
      </c>
      <c r="S16" s="17">
        <f>50*(S14-S12*2.5)/(S10-2.5)/1000-S15*9.8</f>
        <v>137.15125697674418</v>
      </c>
      <c r="T16" s="20">
        <f>50*(T14-T12*2.5)/(T10-2.5)/1000-T15*9.8</f>
        <v>136.75925697674418</v>
      </c>
      <c r="U16" s="16">
        <f>50*(U14-U12*2.5)/(U10-2.5)/1000-U15*9.8</f>
        <v>134.30925697674419</v>
      </c>
      <c r="V16" s="22">
        <f>50*(V14-V12*2.5)/(V10-2.5)/1000-V15*9.8</f>
        <v>134.30925697674419</v>
      </c>
      <c r="W16" s="17">
        <f>50*(W14-W12*4)/(W10-4)/1000-W15*9.8</f>
        <v>127.95854</v>
      </c>
      <c r="X16" s="16">
        <f>50*(X14-X12*4)/(X10-4)/1000-X15*9.8</f>
        <v>128.15454</v>
      </c>
      <c r="Y16" s="22">
        <f>50*(Y14-Y12*4)/(Y10-4)/1000-Y15*9.8</f>
        <v>132.85387499999996</v>
      </c>
      <c r="Z16" s="24">
        <f>50*(Z14-Z12*4)/(Z10-4)/1000-Z15*9.8</f>
        <v>114.65161315789474</v>
      </c>
      <c r="AA16" s="22">
        <f t="shared" ref="AA16:AC16" si="4">50*(AA14-AA12*4)/(AA10-4)/1000-AA15*9.8</f>
        <v>126.58654</v>
      </c>
      <c r="AB16" s="24">
        <f t="shared" si="4"/>
        <v>123.48770500000002</v>
      </c>
      <c r="AC16" s="24">
        <f t="shared" si="4"/>
        <v>111.37817954545456</v>
      </c>
      <c r="AD16" s="24">
        <f t="shared" ref="AD16:AE16" si="5">50*(AD14-AD12*4)/(AD10-4)/1000-AD15*9.8</f>
        <v>11.923914999999994</v>
      </c>
      <c r="AE16" s="22">
        <f t="shared" si="5"/>
        <v>937.43337499999996</v>
      </c>
      <c r="AF16" s="20">
        <f>50*(AF14-AF12*4)/(AF10-4)/1000-AF15*9.8</f>
        <v>283.70059249999997</v>
      </c>
      <c r="AH16" s="24"/>
    </row>
    <row r="17" spans="2:32">
      <c r="B17" s="4" t="s">
        <v>49</v>
      </c>
      <c r="C17" s="24" t="s">
        <v>50</v>
      </c>
      <c r="D17" s="24" t="s">
        <v>50</v>
      </c>
      <c r="E17" s="24" t="s">
        <v>50</v>
      </c>
      <c r="F17" s="24" t="s">
        <v>53</v>
      </c>
      <c r="G17" s="24" t="s">
        <v>50</v>
      </c>
      <c r="H17" s="24" t="s">
        <v>50</v>
      </c>
      <c r="I17" s="10" t="s">
        <v>50</v>
      </c>
      <c r="J17" s="2" t="s">
        <v>50</v>
      </c>
      <c r="K17" s="10" t="s">
        <v>50</v>
      </c>
      <c r="L17" s="24" t="s">
        <v>53</v>
      </c>
      <c r="M17" s="24" t="s">
        <v>50</v>
      </c>
      <c r="N17" s="24" t="s">
        <v>50</v>
      </c>
      <c r="O17" s="24" t="s">
        <v>50</v>
      </c>
      <c r="P17" s="24" t="s">
        <v>50</v>
      </c>
      <c r="Q17" s="10" t="s">
        <v>50</v>
      </c>
      <c r="R17" s="2" t="s">
        <v>50</v>
      </c>
      <c r="S17" s="10" t="s">
        <v>61</v>
      </c>
      <c r="T17" s="2" t="s">
        <v>61</v>
      </c>
      <c r="U17" s="10" t="s">
        <v>61</v>
      </c>
      <c r="V17" s="2" t="s">
        <v>61</v>
      </c>
      <c r="W17" s="10" t="s">
        <v>61</v>
      </c>
      <c r="X17" s="24" t="s">
        <v>61</v>
      </c>
      <c r="Y17" s="24" t="s">
        <v>61</v>
      </c>
      <c r="Z17" s="24" t="s">
        <v>61</v>
      </c>
      <c r="AA17" s="24" t="s">
        <v>105</v>
      </c>
      <c r="AB17" s="24" t="s">
        <v>105</v>
      </c>
      <c r="AC17" s="24" t="s">
        <v>105</v>
      </c>
      <c r="AD17" s="24" t="s">
        <v>105</v>
      </c>
      <c r="AE17" s="24" t="s">
        <v>105</v>
      </c>
      <c r="AF17" s="2" t="s">
        <v>61</v>
      </c>
    </row>
    <row r="18" spans="2:32">
      <c r="B18" s="4" t="s">
        <v>35</v>
      </c>
      <c r="C18" s="16" t="s">
        <v>36</v>
      </c>
      <c r="D18" s="16" t="s">
        <v>25</v>
      </c>
      <c r="E18" s="16" t="s">
        <v>25</v>
      </c>
      <c r="F18" s="16" t="s">
        <v>25</v>
      </c>
      <c r="G18" s="18" t="s">
        <v>37</v>
      </c>
      <c r="H18" s="18" t="s">
        <v>24</v>
      </c>
      <c r="I18" s="17" t="s">
        <v>36</v>
      </c>
      <c r="J18" s="19" t="s">
        <v>38</v>
      </c>
      <c r="K18" s="17" t="s">
        <v>36</v>
      </c>
      <c r="L18" s="16" t="s">
        <v>25</v>
      </c>
      <c r="M18" s="18" t="s">
        <v>37</v>
      </c>
      <c r="N18" s="18" t="s">
        <v>37</v>
      </c>
      <c r="O18" s="18" t="s">
        <v>37</v>
      </c>
      <c r="P18" s="18" t="s">
        <v>24</v>
      </c>
      <c r="Q18" s="21" t="s">
        <v>24</v>
      </c>
      <c r="R18" s="19" t="s">
        <v>24</v>
      </c>
      <c r="S18" s="26" t="s">
        <v>24</v>
      </c>
      <c r="T18" s="23" t="s">
        <v>24</v>
      </c>
      <c r="U18" s="25" t="s">
        <v>63</v>
      </c>
      <c r="V18" s="27" t="s">
        <v>63</v>
      </c>
      <c r="W18" s="17" t="s">
        <v>25</v>
      </c>
      <c r="X18" s="16" t="s">
        <v>25</v>
      </c>
      <c r="Y18" s="22" t="s">
        <v>25</v>
      </c>
      <c r="Z18" s="27" t="s">
        <v>63</v>
      </c>
      <c r="AA18" s="31" t="s">
        <v>106</v>
      </c>
      <c r="AB18" s="31" t="s">
        <v>106</v>
      </c>
      <c r="AC18" s="31" t="s">
        <v>106</v>
      </c>
      <c r="AD18" s="31" t="s">
        <v>106</v>
      </c>
      <c r="AE18" s="31" t="s">
        <v>106</v>
      </c>
      <c r="AF18" s="20" t="s">
        <v>25</v>
      </c>
    </row>
    <row r="19" spans="2:32" ht="73.8" customHeight="1" thickBot="1">
      <c r="B19" s="7" t="s">
        <v>39</v>
      </c>
      <c r="C19" s="8"/>
      <c r="D19" s="13" t="s">
        <v>42</v>
      </c>
      <c r="E19" s="13" t="s">
        <v>41</v>
      </c>
      <c r="F19" s="8"/>
      <c r="G19" s="13" t="s">
        <v>51</v>
      </c>
      <c r="H19" s="13" t="s">
        <v>52</v>
      </c>
      <c r="I19" s="12" t="s">
        <v>40</v>
      </c>
      <c r="J19" s="15" t="s">
        <v>40</v>
      </c>
      <c r="K19" s="11"/>
      <c r="L19" s="8"/>
      <c r="M19" s="13" t="s">
        <v>51</v>
      </c>
      <c r="N19" s="13" t="s">
        <v>51</v>
      </c>
      <c r="O19" s="13" t="s">
        <v>51</v>
      </c>
      <c r="P19" s="13" t="s">
        <v>52</v>
      </c>
      <c r="Q19" s="12" t="s">
        <v>54</v>
      </c>
      <c r="R19" s="15" t="s">
        <v>54</v>
      </c>
      <c r="S19" s="12" t="s">
        <v>70</v>
      </c>
      <c r="T19" s="15" t="s">
        <v>70</v>
      </c>
      <c r="U19" s="13" t="s">
        <v>69</v>
      </c>
      <c r="V19" s="13" t="s">
        <v>69</v>
      </c>
      <c r="W19" s="12" t="s">
        <v>62</v>
      </c>
      <c r="X19" s="13" t="s">
        <v>62</v>
      </c>
      <c r="Y19" s="13"/>
      <c r="Z19" s="13"/>
      <c r="AA19" s="13"/>
      <c r="AB19" s="13"/>
      <c r="AC19" s="13"/>
      <c r="AD19" s="13"/>
      <c r="AE19" s="13"/>
      <c r="AF19" s="15"/>
    </row>
    <row r="22" spans="2:32">
      <c r="L22">
        <f>Y10</f>
        <v>16</v>
      </c>
      <c r="M22">
        <f>AA10</f>
        <v>24</v>
      </c>
      <c r="N22">
        <f>Z10</f>
        <v>42</v>
      </c>
      <c r="O22">
        <f>AC10</f>
        <v>48</v>
      </c>
      <c r="Q22">
        <f>AD6</f>
        <v>13.5</v>
      </c>
      <c r="R22">
        <f>AA6</f>
        <v>27</v>
      </c>
      <c r="S22">
        <f>AF6</f>
        <v>38.183999999999997</v>
      </c>
      <c r="T22">
        <f>AE6</f>
        <v>54</v>
      </c>
    </row>
    <row r="23" spans="2:32">
      <c r="L23">
        <f>Y16</f>
        <v>132.85387499999996</v>
      </c>
      <c r="M23">
        <f>AA16</f>
        <v>126.58654</v>
      </c>
      <c r="N23">
        <f>Z16</f>
        <v>114.65161315789474</v>
      </c>
      <c r="O23">
        <f>AC16</f>
        <v>111.37817954545456</v>
      </c>
      <c r="Q23">
        <f>AD16</f>
        <v>11.923914999999994</v>
      </c>
      <c r="R23">
        <f>AA16</f>
        <v>126.58654</v>
      </c>
      <c r="S23">
        <f>AF16</f>
        <v>283.70059249999997</v>
      </c>
      <c r="T23">
        <f>AE16</f>
        <v>937.43337499999996</v>
      </c>
    </row>
    <row r="38" spans="9:9">
      <c r="I38">
        <f>11.2*J33</f>
        <v>0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2C22C-3F7A-4F3D-91E5-1DBAF018F84A}">
  <dimension ref="B5:O165"/>
  <sheetViews>
    <sheetView topLeftCell="B129" zoomScaleNormal="100" workbookViewId="0">
      <selection activeCell="K147" sqref="K147"/>
    </sheetView>
  </sheetViews>
  <sheetFormatPr defaultRowHeight="17.399999999999999"/>
  <sheetData>
    <row r="5" spans="2:12">
      <c r="D5" t="s">
        <v>78</v>
      </c>
      <c r="E5">
        <v>216</v>
      </c>
    </row>
    <row r="8" spans="2:12">
      <c r="D8" t="s">
        <v>74</v>
      </c>
      <c r="E8">
        <v>137</v>
      </c>
      <c r="G8" t="s">
        <v>76</v>
      </c>
      <c r="J8" t="s">
        <v>82</v>
      </c>
    </row>
    <row r="9" spans="2:12">
      <c r="D9" t="s">
        <v>75</v>
      </c>
      <c r="E9">
        <v>53</v>
      </c>
      <c r="G9">
        <f>(E8-E9)/E8*100</f>
        <v>61.313868613138688</v>
      </c>
      <c r="J9">
        <f>(F14-E9)/F14*100</f>
        <v>64.189189189189193</v>
      </c>
    </row>
    <row r="13" spans="2:12" ht="39.6">
      <c r="B13" s="30" t="s">
        <v>101</v>
      </c>
      <c r="G13" t="s">
        <v>81</v>
      </c>
    </row>
    <row r="14" spans="2:12">
      <c r="B14" t="s">
        <v>80</v>
      </c>
      <c r="C14">
        <v>148</v>
      </c>
      <c r="E14" t="s">
        <v>80</v>
      </c>
      <c r="F14">
        <v>148</v>
      </c>
      <c r="G14">
        <v>137</v>
      </c>
      <c r="H14">
        <f>$G$14-H17</f>
        <v>120</v>
      </c>
      <c r="I14">
        <f t="shared" ref="I14:L14" si="0">$G$14-I17</f>
        <v>103</v>
      </c>
      <c r="J14">
        <f t="shared" si="0"/>
        <v>86</v>
      </c>
      <c r="K14">
        <f t="shared" si="0"/>
        <v>69</v>
      </c>
      <c r="L14">
        <f t="shared" si="0"/>
        <v>52</v>
      </c>
    </row>
    <row r="16" spans="2:12">
      <c r="B16" t="s">
        <v>79</v>
      </c>
      <c r="C16">
        <v>238</v>
      </c>
      <c r="E16" t="s">
        <v>79</v>
      </c>
      <c r="F16">
        <v>238</v>
      </c>
      <c r="G16">
        <v>216</v>
      </c>
      <c r="H16">
        <f>$G$16-H17</f>
        <v>199</v>
      </c>
      <c r="I16">
        <f t="shared" ref="I16:L16" si="1">$G$16-I17</f>
        <v>182</v>
      </c>
      <c r="J16">
        <f t="shared" si="1"/>
        <v>165</v>
      </c>
      <c r="K16">
        <f t="shared" si="1"/>
        <v>148</v>
      </c>
      <c r="L16">
        <f t="shared" si="1"/>
        <v>131</v>
      </c>
    </row>
    <row r="17" spans="2:12">
      <c r="B17" t="s">
        <v>77</v>
      </c>
      <c r="C17">
        <v>-11</v>
      </c>
      <c r="E17" t="s">
        <v>77</v>
      </c>
      <c r="F17">
        <v>-11</v>
      </c>
      <c r="G17">
        <v>0</v>
      </c>
      <c r="H17">
        <v>17</v>
      </c>
      <c r="I17">
        <v>34</v>
      </c>
      <c r="J17">
        <v>51</v>
      </c>
      <c r="K17">
        <v>68</v>
      </c>
      <c r="L17">
        <v>85</v>
      </c>
    </row>
    <row r="18" spans="2:12">
      <c r="B18" t="s">
        <v>26</v>
      </c>
      <c r="E18" t="s">
        <v>90</v>
      </c>
      <c r="F18" t="s">
        <v>91</v>
      </c>
    </row>
    <row r="19" spans="2:12">
      <c r="C19">
        <v>0</v>
      </c>
      <c r="E19">
        <v>0</v>
      </c>
      <c r="F19">
        <v>2640</v>
      </c>
      <c r="G19">
        <v>0</v>
      </c>
      <c r="H19">
        <v>-1117</v>
      </c>
      <c r="I19">
        <v>-1370</v>
      </c>
      <c r="J19">
        <v>-1638</v>
      </c>
      <c r="K19">
        <v>-1800</v>
      </c>
    </row>
    <row r="20" spans="2:12">
      <c r="C20">
        <v>5079</v>
      </c>
      <c r="E20">
        <v>-10</v>
      </c>
      <c r="F20">
        <f>$F$19+C20</f>
        <v>7719</v>
      </c>
      <c r="G20">
        <v>3610</v>
      </c>
      <c r="H20">
        <v>1920</v>
      </c>
      <c r="I20">
        <v>1344</v>
      </c>
      <c r="J20">
        <v>1013</v>
      </c>
      <c r="K20">
        <v>682</v>
      </c>
    </row>
    <row r="21" spans="2:12">
      <c r="C21">
        <v>9927</v>
      </c>
      <c r="E21">
        <v>-20</v>
      </c>
      <c r="F21">
        <f t="shared" ref="F21:F24" si="2">$F$19+C21</f>
        <v>12567</v>
      </c>
      <c r="G21">
        <v>7249</v>
      </c>
      <c r="H21">
        <v>4836</v>
      </c>
      <c r="I21">
        <v>4023</v>
      </c>
      <c r="J21">
        <v>3451</v>
      </c>
      <c r="K21">
        <v>2948</v>
      </c>
    </row>
    <row r="22" spans="2:12">
      <c r="C22">
        <v>14609</v>
      </c>
      <c r="E22">
        <v>-30</v>
      </c>
      <c r="F22">
        <f t="shared" si="2"/>
        <v>17249</v>
      </c>
      <c r="G22">
        <v>10686</v>
      </c>
      <c r="H22">
        <v>7903</v>
      </c>
      <c r="I22">
        <v>6882</v>
      </c>
      <c r="J22">
        <v>6055</v>
      </c>
      <c r="K22">
        <v>5312</v>
      </c>
    </row>
    <row r="23" spans="2:12">
      <c r="C23">
        <v>18849</v>
      </c>
      <c r="E23">
        <v>-40</v>
      </c>
      <c r="F23">
        <f t="shared" si="2"/>
        <v>21489</v>
      </c>
      <c r="G23">
        <v>14010</v>
      </c>
      <c r="H23">
        <v>10885</v>
      </c>
      <c r="I23">
        <v>9684</v>
      </c>
      <c r="J23">
        <v>8629</v>
      </c>
      <c r="K23">
        <v>7554</v>
      </c>
    </row>
    <row r="24" spans="2:12">
      <c r="C24">
        <v>22588</v>
      </c>
      <c r="E24">
        <v>-50</v>
      </c>
      <c r="F24">
        <f t="shared" si="2"/>
        <v>25228</v>
      </c>
      <c r="G24">
        <v>17009</v>
      </c>
      <c r="H24">
        <v>13841</v>
      </c>
      <c r="I24">
        <v>12448</v>
      </c>
      <c r="J24">
        <v>11137</v>
      </c>
      <c r="K24">
        <v>9621</v>
      </c>
    </row>
    <row r="25" spans="2:12">
      <c r="F25" t="s">
        <v>88</v>
      </c>
      <c r="G25" t="s">
        <v>83</v>
      </c>
      <c r="H25" t="s">
        <v>84</v>
      </c>
      <c r="I25" t="s">
        <v>85</v>
      </c>
      <c r="J25" t="s">
        <v>86</v>
      </c>
      <c r="K25" t="s">
        <v>87</v>
      </c>
      <c r="L25" t="s">
        <v>89</v>
      </c>
    </row>
    <row r="31" spans="2:12">
      <c r="B31" t="s">
        <v>26</v>
      </c>
      <c r="D31" s="28"/>
      <c r="E31" t="s">
        <v>93</v>
      </c>
      <c r="F31" t="s">
        <v>92</v>
      </c>
    </row>
    <row r="32" spans="2:12">
      <c r="C32">
        <v>0</v>
      </c>
      <c r="D32" s="28"/>
      <c r="E32">
        <v>0</v>
      </c>
      <c r="F32">
        <f>F19/1000*9.8</f>
        <v>25.872000000000003</v>
      </c>
      <c r="G32">
        <f t="shared" ref="G32:K32" si="3">G19/1000*9.8</f>
        <v>0</v>
      </c>
      <c r="H32">
        <f t="shared" si="3"/>
        <v>-10.9466</v>
      </c>
      <c r="I32">
        <f t="shared" si="3"/>
        <v>-13.426000000000002</v>
      </c>
      <c r="J32">
        <f t="shared" si="3"/>
        <v>-16.052399999999999</v>
      </c>
      <c r="K32">
        <f t="shared" si="3"/>
        <v>-17.64</v>
      </c>
    </row>
    <row r="33" spans="2:12">
      <c r="C33">
        <v>5079</v>
      </c>
      <c r="D33" s="28"/>
      <c r="E33">
        <v>-10</v>
      </c>
      <c r="F33">
        <f t="shared" ref="F33:K33" si="4">F20/1000*9.8</f>
        <v>75.646200000000007</v>
      </c>
      <c r="G33">
        <f t="shared" si="4"/>
        <v>35.378</v>
      </c>
      <c r="H33">
        <f t="shared" si="4"/>
        <v>18.815999999999999</v>
      </c>
      <c r="I33">
        <f t="shared" si="4"/>
        <v>13.171200000000002</v>
      </c>
      <c r="J33">
        <f t="shared" si="4"/>
        <v>9.9274000000000004</v>
      </c>
      <c r="K33">
        <f t="shared" si="4"/>
        <v>6.6836000000000011</v>
      </c>
    </row>
    <row r="34" spans="2:12">
      <c r="C34">
        <v>9927</v>
      </c>
      <c r="D34" s="28"/>
      <c r="E34">
        <v>-20</v>
      </c>
      <c r="F34">
        <f t="shared" ref="F34:K34" si="5">F21/1000*9.8</f>
        <v>123.15660000000001</v>
      </c>
      <c r="G34">
        <f t="shared" si="5"/>
        <v>71.040199999999999</v>
      </c>
      <c r="H34">
        <f t="shared" si="5"/>
        <v>47.392800000000008</v>
      </c>
      <c r="I34">
        <f t="shared" si="5"/>
        <v>39.425400000000003</v>
      </c>
      <c r="J34">
        <f t="shared" si="5"/>
        <v>33.819800000000001</v>
      </c>
      <c r="K34">
        <f t="shared" si="5"/>
        <v>28.890400000000003</v>
      </c>
    </row>
    <row r="35" spans="2:12">
      <c r="C35">
        <v>14609</v>
      </c>
      <c r="D35" s="28"/>
      <c r="E35">
        <v>-30</v>
      </c>
      <c r="F35">
        <f t="shared" ref="F35:K35" si="6">F22/1000*9.8</f>
        <v>169.0402</v>
      </c>
      <c r="G35">
        <f t="shared" si="6"/>
        <v>104.72280000000001</v>
      </c>
      <c r="H35">
        <f t="shared" si="6"/>
        <v>77.449399999999997</v>
      </c>
      <c r="I35">
        <f t="shared" si="6"/>
        <v>67.443600000000004</v>
      </c>
      <c r="J35">
        <f t="shared" si="6"/>
        <v>59.338999999999999</v>
      </c>
      <c r="K35">
        <f t="shared" si="6"/>
        <v>52.057600000000008</v>
      </c>
    </row>
    <row r="36" spans="2:12">
      <c r="C36">
        <v>18849</v>
      </c>
      <c r="D36" s="28"/>
      <c r="E36">
        <v>-40</v>
      </c>
      <c r="F36">
        <f t="shared" ref="F36:K36" si="7">F23/1000*9.8</f>
        <v>210.59220000000002</v>
      </c>
      <c r="G36">
        <f t="shared" si="7"/>
        <v>137.298</v>
      </c>
      <c r="H36">
        <f t="shared" si="7"/>
        <v>106.673</v>
      </c>
      <c r="I36">
        <f t="shared" si="7"/>
        <v>94.903199999999998</v>
      </c>
      <c r="J36">
        <f t="shared" si="7"/>
        <v>84.5642</v>
      </c>
      <c r="K36">
        <f t="shared" si="7"/>
        <v>74.029200000000003</v>
      </c>
    </row>
    <row r="37" spans="2:12">
      <c r="C37">
        <v>22588</v>
      </c>
      <c r="D37" s="28"/>
      <c r="E37">
        <v>-50</v>
      </c>
      <c r="F37">
        <f t="shared" ref="F37:K37" si="8">F24/1000*9.8</f>
        <v>247.23440000000002</v>
      </c>
      <c r="G37">
        <f t="shared" si="8"/>
        <v>166.68820000000002</v>
      </c>
      <c r="H37">
        <f t="shared" si="8"/>
        <v>135.64179999999999</v>
      </c>
      <c r="I37">
        <f t="shared" si="8"/>
        <v>121.99040000000001</v>
      </c>
      <c r="J37">
        <f t="shared" si="8"/>
        <v>109.14260000000002</v>
      </c>
      <c r="K37">
        <f t="shared" si="8"/>
        <v>94.285800000000009</v>
      </c>
    </row>
    <row r="38" spans="2:12">
      <c r="D38" s="28"/>
      <c r="F38" t="s">
        <v>88</v>
      </c>
      <c r="G38" t="s">
        <v>83</v>
      </c>
      <c r="H38" t="s">
        <v>84</v>
      </c>
      <c r="I38" t="s">
        <v>85</v>
      </c>
      <c r="J38" t="s">
        <v>86</v>
      </c>
      <c r="K38" t="s">
        <v>87</v>
      </c>
      <c r="L38" t="s">
        <v>89</v>
      </c>
    </row>
    <row r="39" spans="2:12">
      <c r="D39" s="28"/>
    </row>
    <row r="40" spans="2:12">
      <c r="D40" s="28"/>
    </row>
    <row r="41" spans="2:12">
      <c r="B41" t="s">
        <v>26</v>
      </c>
      <c r="C41" t="s">
        <v>99</v>
      </c>
      <c r="D41" s="28"/>
      <c r="E41" t="s">
        <v>93</v>
      </c>
      <c r="F41" t="s">
        <v>92</v>
      </c>
    </row>
    <row r="42" spans="2:12">
      <c r="C42">
        <v>0</v>
      </c>
      <c r="D42" s="28"/>
      <c r="E42">
        <v>0</v>
      </c>
      <c r="F42">
        <f>F29/1000*9.8</f>
        <v>0</v>
      </c>
      <c r="G42">
        <f t="shared" ref="G42:K42" si="9">G29/1000*9.8</f>
        <v>0</v>
      </c>
      <c r="H42">
        <f t="shared" si="9"/>
        <v>0</v>
      </c>
      <c r="I42">
        <f t="shared" si="9"/>
        <v>0</v>
      </c>
      <c r="J42">
        <f t="shared" si="9"/>
        <v>0</v>
      </c>
      <c r="K42">
        <f t="shared" si="9"/>
        <v>0</v>
      </c>
    </row>
    <row r="43" spans="2:12">
      <c r="C43">
        <v>5079</v>
      </c>
      <c r="D43" s="28"/>
      <c r="E43">
        <v>-10</v>
      </c>
      <c r="F43">
        <f>F33-F$32</f>
        <v>49.774200000000008</v>
      </c>
      <c r="G43">
        <f t="shared" ref="G43:K43" si="10">G33-G$32</f>
        <v>35.378</v>
      </c>
      <c r="H43">
        <f t="shared" si="10"/>
        <v>29.762599999999999</v>
      </c>
      <c r="I43">
        <f t="shared" si="10"/>
        <v>26.597200000000004</v>
      </c>
      <c r="J43">
        <f t="shared" si="10"/>
        <v>25.979799999999997</v>
      </c>
      <c r="K43">
        <f t="shared" si="10"/>
        <v>24.323600000000003</v>
      </c>
    </row>
    <row r="44" spans="2:12">
      <c r="C44">
        <v>9927</v>
      </c>
      <c r="D44" s="28"/>
      <c r="E44">
        <v>-20</v>
      </c>
      <c r="F44">
        <f t="shared" ref="F44:K44" si="11">F34-F$32</f>
        <v>97.284600000000012</v>
      </c>
      <c r="G44">
        <f t="shared" si="11"/>
        <v>71.040199999999999</v>
      </c>
      <c r="H44">
        <f t="shared" si="11"/>
        <v>58.339400000000012</v>
      </c>
      <c r="I44">
        <f t="shared" si="11"/>
        <v>52.851400000000005</v>
      </c>
      <c r="J44">
        <f t="shared" si="11"/>
        <v>49.872199999999999</v>
      </c>
      <c r="K44">
        <f t="shared" si="11"/>
        <v>46.5304</v>
      </c>
    </row>
    <row r="45" spans="2:12">
      <c r="C45">
        <v>14609</v>
      </c>
      <c r="D45" s="28"/>
      <c r="E45">
        <v>-30</v>
      </c>
      <c r="F45">
        <f t="shared" ref="F45:K45" si="12">F35-F$32</f>
        <v>143.16819999999998</v>
      </c>
      <c r="G45">
        <f t="shared" si="12"/>
        <v>104.72280000000001</v>
      </c>
      <c r="H45">
        <f t="shared" si="12"/>
        <v>88.396000000000001</v>
      </c>
      <c r="I45">
        <f t="shared" si="12"/>
        <v>80.869600000000005</v>
      </c>
      <c r="J45">
        <f t="shared" si="12"/>
        <v>75.391400000000004</v>
      </c>
      <c r="K45">
        <f t="shared" si="12"/>
        <v>69.697600000000008</v>
      </c>
    </row>
    <row r="46" spans="2:12">
      <c r="C46">
        <v>18849</v>
      </c>
      <c r="D46" s="28"/>
      <c r="E46">
        <v>-40</v>
      </c>
      <c r="F46">
        <f t="shared" ref="F46:K46" si="13">F36-F$32</f>
        <v>184.72020000000001</v>
      </c>
      <c r="G46">
        <f t="shared" si="13"/>
        <v>137.298</v>
      </c>
      <c r="H46">
        <f t="shared" si="13"/>
        <v>117.61960000000001</v>
      </c>
      <c r="I46">
        <f t="shared" si="13"/>
        <v>108.3292</v>
      </c>
      <c r="J46">
        <f t="shared" si="13"/>
        <v>100.61660000000001</v>
      </c>
      <c r="K46">
        <f t="shared" si="13"/>
        <v>91.669200000000004</v>
      </c>
    </row>
    <row r="47" spans="2:12">
      <c r="C47">
        <v>22588</v>
      </c>
      <c r="D47" s="28"/>
      <c r="E47">
        <v>-50</v>
      </c>
      <c r="F47">
        <f t="shared" ref="F47:K47" si="14">F37-F$32</f>
        <v>221.36240000000001</v>
      </c>
      <c r="G47">
        <f t="shared" si="14"/>
        <v>166.68820000000002</v>
      </c>
      <c r="H47">
        <f t="shared" si="14"/>
        <v>146.58839999999998</v>
      </c>
      <c r="I47">
        <f t="shared" si="14"/>
        <v>135.41640000000001</v>
      </c>
      <c r="J47">
        <f t="shared" si="14"/>
        <v>125.19500000000002</v>
      </c>
      <c r="K47">
        <f t="shared" si="14"/>
        <v>111.92580000000001</v>
      </c>
    </row>
    <row r="48" spans="2:12">
      <c r="D48" s="28"/>
      <c r="F48" t="s">
        <v>88</v>
      </c>
      <c r="G48" t="s">
        <v>83</v>
      </c>
      <c r="H48" t="s">
        <v>84</v>
      </c>
      <c r="I48" t="s">
        <v>85</v>
      </c>
      <c r="J48" t="s">
        <v>86</v>
      </c>
      <c r="K48" t="s">
        <v>87</v>
      </c>
      <c r="L48" t="s">
        <v>89</v>
      </c>
    </row>
    <row r="49" spans="2:12">
      <c r="D49" s="28"/>
    </row>
    <row r="50" spans="2:12">
      <c r="D50" s="28"/>
    </row>
    <row r="51" spans="2:12">
      <c r="D51" s="28"/>
    </row>
    <row r="53" spans="2:12" ht="39.6">
      <c r="B53" s="30" t="s">
        <v>94</v>
      </c>
      <c r="G53" t="s">
        <v>81</v>
      </c>
    </row>
    <row r="54" spans="2:12">
      <c r="B54" t="s">
        <v>80</v>
      </c>
      <c r="C54">
        <v>148</v>
      </c>
      <c r="E54" t="s">
        <v>80</v>
      </c>
      <c r="F54">
        <v>154</v>
      </c>
      <c r="G54">
        <v>143</v>
      </c>
      <c r="H54">
        <f>$G$54-H57</f>
        <v>123</v>
      </c>
      <c r="I54">
        <f t="shared" ref="I54:L54" si="15">$G$54-I57</f>
        <v>103</v>
      </c>
      <c r="J54">
        <f t="shared" si="15"/>
        <v>83</v>
      </c>
      <c r="K54">
        <f t="shared" si="15"/>
        <v>63</v>
      </c>
      <c r="L54">
        <f t="shared" si="15"/>
        <v>41</v>
      </c>
    </row>
    <row r="56" spans="2:12">
      <c r="B56" t="s">
        <v>79</v>
      </c>
      <c r="C56">
        <v>238</v>
      </c>
      <c r="E56" t="s">
        <v>79</v>
      </c>
      <c r="F56">
        <v>238</v>
      </c>
      <c r="G56">
        <v>216</v>
      </c>
      <c r="H56">
        <f>$G$16-H57</f>
        <v>196</v>
      </c>
      <c r="I56">
        <f t="shared" ref="I56:L56" si="16">$G$16-I57</f>
        <v>176</v>
      </c>
      <c r="J56">
        <f t="shared" si="16"/>
        <v>156</v>
      </c>
      <c r="K56">
        <f t="shared" si="16"/>
        <v>136</v>
      </c>
      <c r="L56">
        <f t="shared" si="16"/>
        <v>114</v>
      </c>
    </row>
    <row r="57" spans="2:12">
      <c r="B57" t="s">
        <v>77</v>
      </c>
      <c r="C57">
        <v>-11</v>
      </c>
      <c r="E57" t="s">
        <v>77</v>
      </c>
      <c r="F57">
        <v>-11</v>
      </c>
      <c r="G57">
        <v>0</v>
      </c>
      <c r="H57">
        <v>20</v>
      </c>
      <c r="I57">
        <v>40</v>
      </c>
      <c r="J57">
        <v>60</v>
      </c>
      <c r="K57">
        <v>80</v>
      </c>
      <c r="L57">
        <v>102</v>
      </c>
    </row>
    <row r="58" spans="2:12">
      <c r="B58" t="s">
        <v>26</v>
      </c>
      <c r="E58" t="s">
        <v>90</v>
      </c>
      <c r="F58" t="s">
        <v>91</v>
      </c>
    </row>
    <row r="59" spans="2:12">
      <c r="C59">
        <v>0</v>
      </c>
      <c r="E59">
        <v>0</v>
      </c>
      <c r="F59" s="29">
        <v>2116</v>
      </c>
      <c r="G59">
        <v>0</v>
      </c>
      <c r="H59">
        <v>-645</v>
      </c>
      <c r="I59" s="28">
        <v>-889</v>
      </c>
      <c r="J59" s="29">
        <v>-943</v>
      </c>
      <c r="K59">
        <v>-1015</v>
      </c>
    </row>
    <row r="60" spans="2:12">
      <c r="E60">
        <v>-10</v>
      </c>
      <c r="F60" s="29">
        <f>7398.1-$F$69</f>
        <v>6791.7000000000007</v>
      </c>
      <c r="G60" s="29">
        <v>3373.4</v>
      </c>
      <c r="H60" s="29">
        <v>2432</v>
      </c>
      <c r="I60" s="29">
        <v>1769</v>
      </c>
      <c r="J60" s="29">
        <f>2492.7+$J$59</f>
        <v>1549.6999999999998</v>
      </c>
      <c r="K60" s="29">
        <f>2307.5+$K$69</f>
        <v>1432.5</v>
      </c>
    </row>
    <row r="61" spans="2:12">
      <c r="E61">
        <v>-20</v>
      </c>
      <c r="F61" s="29">
        <f>11760.3-$F$69</f>
        <v>11153.9</v>
      </c>
      <c r="G61" s="29">
        <v>6967.1</v>
      </c>
      <c r="H61" s="29">
        <v>5659.7</v>
      </c>
      <c r="I61" s="29">
        <v>4547.1000000000004</v>
      </c>
      <c r="J61" s="29">
        <f>5130.5+$J$59</f>
        <v>4187.5</v>
      </c>
      <c r="K61" s="29">
        <f>4938.9+$K$69</f>
        <v>4063.8999999999996</v>
      </c>
    </row>
    <row r="62" spans="2:12">
      <c r="E62">
        <v>-30</v>
      </c>
      <c r="F62" s="29">
        <f>15123.4-$F$69</f>
        <v>14517</v>
      </c>
      <c r="G62" s="29">
        <v>10431.4</v>
      </c>
      <c r="H62" s="29">
        <v>8855.1</v>
      </c>
      <c r="I62" s="29">
        <v>7387.5</v>
      </c>
      <c r="J62" s="29">
        <f>7732+$J$59</f>
        <v>6789</v>
      </c>
      <c r="K62" s="29">
        <f>7536.2+$K$69</f>
        <v>6661.2</v>
      </c>
    </row>
    <row r="63" spans="2:12">
      <c r="E63">
        <v>-40</v>
      </c>
      <c r="F63" s="29">
        <f>19761.7-$F$69</f>
        <v>19155.3</v>
      </c>
      <c r="G63" s="29">
        <v>13820.9</v>
      </c>
      <c r="H63" s="29">
        <v>11947.8</v>
      </c>
      <c r="I63" s="29">
        <v>10189.299999999999</v>
      </c>
      <c r="J63" s="29">
        <f>10351.2+$J$59</f>
        <v>9408.2000000000007</v>
      </c>
      <c r="K63" s="29">
        <f>10084+$K$69</f>
        <v>9209</v>
      </c>
    </row>
    <row r="64" spans="2:12">
      <c r="D64">
        <v>48</v>
      </c>
      <c r="E64">
        <v>-50</v>
      </c>
      <c r="F64" s="29">
        <f>21965-$F$69</f>
        <v>21358.6</v>
      </c>
      <c r="G64" s="29">
        <v>16625.5</v>
      </c>
      <c r="H64" s="29">
        <v>14748</v>
      </c>
      <c r="I64" s="29">
        <v>12812.1</v>
      </c>
      <c r="J64" s="29">
        <f>12842.5+$J$59</f>
        <v>11899.5</v>
      </c>
      <c r="K64" s="29">
        <f>12469.2+$K$69</f>
        <v>11594.2</v>
      </c>
    </row>
    <row r="65" spans="2:13">
      <c r="F65">
        <f>F54/$G$54</f>
        <v>1.0769230769230769</v>
      </c>
      <c r="G65">
        <f>G54/$G$54</f>
        <v>1</v>
      </c>
      <c r="H65">
        <f t="shared" ref="H65:L65" si="17">H54/$G$54</f>
        <v>0.8601398601398601</v>
      </c>
      <c r="I65">
        <f t="shared" si="17"/>
        <v>0.72027972027972031</v>
      </c>
      <c r="J65">
        <f t="shared" si="17"/>
        <v>0.58041958041958042</v>
      </c>
      <c r="K65">
        <f t="shared" si="17"/>
        <v>0.44055944055944057</v>
      </c>
      <c r="L65">
        <f t="shared" si="17"/>
        <v>0.28671328671328672</v>
      </c>
      <c r="M65" t="s">
        <v>89</v>
      </c>
    </row>
    <row r="67" spans="2:13">
      <c r="E67" t="s">
        <v>95</v>
      </c>
      <c r="F67" s="29">
        <v>2166</v>
      </c>
      <c r="J67" s="29">
        <v>-943</v>
      </c>
      <c r="K67" s="29">
        <v>-1015</v>
      </c>
    </row>
    <row r="68" spans="2:13">
      <c r="E68" t="s">
        <v>96</v>
      </c>
      <c r="F68" s="29">
        <v>2772.4</v>
      </c>
      <c r="J68" t="s">
        <v>97</v>
      </c>
      <c r="K68">
        <v>-140</v>
      </c>
    </row>
    <row r="69" spans="2:13">
      <c r="F69">
        <f>F68-F67</f>
        <v>606.40000000000009</v>
      </c>
      <c r="H69" s="29"/>
      <c r="I69" s="29"/>
      <c r="K69">
        <f>K67-K68</f>
        <v>-875</v>
      </c>
    </row>
    <row r="71" spans="2:13">
      <c r="B71" t="s">
        <v>26</v>
      </c>
      <c r="D71" s="28"/>
      <c r="E71" t="s">
        <v>93</v>
      </c>
      <c r="F71" t="s">
        <v>92</v>
      </c>
    </row>
    <row r="72" spans="2:13">
      <c r="C72">
        <v>0</v>
      </c>
      <c r="D72" s="28"/>
      <c r="E72">
        <v>0</v>
      </c>
      <c r="F72">
        <f>F59/1000*9.8</f>
        <v>20.736800000000002</v>
      </c>
      <c r="G72">
        <f t="shared" ref="G72:K72" si="18">G59/1000*9.8</f>
        <v>0</v>
      </c>
      <c r="H72">
        <f t="shared" si="18"/>
        <v>-6.3210000000000006</v>
      </c>
      <c r="I72">
        <f t="shared" si="18"/>
        <v>-8.7122000000000011</v>
      </c>
      <c r="J72">
        <f t="shared" si="18"/>
        <v>-9.2414000000000005</v>
      </c>
      <c r="K72">
        <f t="shared" si="18"/>
        <v>-9.9469999999999992</v>
      </c>
    </row>
    <row r="73" spans="2:13">
      <c r="C73">
        <v>5079</v>
      </c>
      <c r="D73" s="28"/>
      <c r="E73">
        <v>-10</v>
      </c>
      <c r="F73">
        <f t="shared" ref="F73:K73" si="19">F60/1000*9.8</f>
        <v>66.558660000000003</v>
      </c>
      <c r="G73">
        <f t="shared" si="19"/>
        <v>33.059320000000007</v>
      </c>
      <c r="H73">
        <f t="shared" si="19"/>
        <v>23.833600000000001</v>
      </c>
      <c r="I73">
        <f t="shared" si="19"/>
        <v>17.336200000000002</v>
      </c>
      <c r="J73">
        <f t="shared" si="19"/>
        <v>15.187059999999999</v>
      </c>
      <c r="K73">
        <f t="shared" si="19"/>
        <v>14.038500000000003</v>
      </c>
    </row>
    <row r="74" spans="2:13">
      <c r="C74">
        <v>9927</v>
      </c>
      <c r="D74" s="28"/>
      <c r="E74">
        <v>-20</v>
      </c>
      <c r="F74">
        <f t="shared" ref="F74:K74" si="20">F61/1000*9.8</f>
        <v>109.30822000000001</v>
      </c>
      <c r="G74">
        <f t="shared" si="20"/>
        <v>68.277580000000015</v>
      </c>
      <c r="H74">
        <f t="shared" si="20"/>
        <v>55.465060000000001</v>
      </c>
      <c r="I74">
        <f t="shared" si="20"/>
        <v>44.561580000000006</v>
      </c>
      <c r="J74">
        <f t="shared" si="20"/>
        <v>41.037500000000001</v>
      </c>
      <c r="K74">
        <f t="shared" si="20"/>
        <v>39.826219999999999</v>
      </c>
    </row>
    <row r="75" spans="2:13">
      <c r="C75">
        <v>14609</v>
      </c>
      <c r="D75" s="28"/>
      <c r="E75">
        <v>-30</v>
      </c>
      <c r="F75">
        <f t="shared" ref="F75:K75" si="21">F62/1000*9.8</f>
        <v>142.26660000000001</v>
      </c>
      <c r="G75">
        <f t="shared" si="21"/>
        <v>102.22772000000001</v>
      </c>
      <c r="H75">
        <f t="shared" si="21"/>
        <v>86.779980000000009</v>
      </c>
      <c r="I75">
        <f t="shared" si="21"/>
        <v>72.397500000000008</v>
      </c>
      <c r="J75">
        <f t="shared" si="21"/>
        <v>66.532200000000003</v>
      </c>
      <c r="K75">
        <f t="shared" si="21"/>
        <v>65.27976000000001</v>
      </c>
    </row>
    <row r="76" spans="2:13">
      <c r="C76">
        <v>18849</v>
      </c>
      <c r="D76" s="28"/>
      <c r="E76">
        <v>-40</v>
      </c>
      <c r="F76">
        <f t="shared" ref="F76:K76" si="22">F63/1000*9.8</f>
        <v>187.72194000000002</v>
      </c>
      <c r="G76">
        <f t="shared" si="22"/>
        <v>135.44482000000002</v>
      </c>
      <c r="H76">
        <f t="shared" si="22"/>
        <v>117.08844000000001</v>
      </c>
      <c r="I76">
        <f t="shared" si="22"/>
        <v>99.855140000000006</v>
      </c>
      <c r="J76">
        <f t="shared" si="22"/>
        <v>92.200360000000018</v>
      </c>
      <c r="K76">
        <f t="shared" si="22"/>
        <v>90.248199999999997</v>
      </c>
    </row>
    <row r="77" spans="2:13">
      <c r="C77">
        <v>22588</v>
      </c>
      <c r="D77" s="28"/>
      <c r="E77">
        <v>-50</v>
      </c>
      <c r="F77">
        <f t="shared" ref="F77:K77" si="23">F64/1000*9.8</f>
        <v>209.31428</v>
      </c>
      <c r="G77">
        <f t="shared" si="23"/>
        <v>162.9299</v>
      </c>
      <c r="H77">
        <f t="shared" si="23"/>
        <v>144.53040000000001</v>
      </c>
      <c r="I77">
        <f t="shared" si="23"/>
        <v>125.55858000000002</v>
      </c>
      <c r="J77">
        <f t="shared" si="23"/>
        <v>116.61510000000001</v>
      </c>
      <c r="K77">
        <f t="shared" si="23"/>
        <v>113.62316000000001</v>
      </c>
    </row>
    <row r="78" spans="2:13">
      <c r="D78" s="28"/>
      <c r="F78" t="s">
        <v>88</v>
      </c>
      <c r="G78" t="s">
        <v>83</v>
      </c>
      <c r="H78" t="s">
        <v>84</v>
      </c>
      <c r="I78" t="s">
        <v>85</v>
      </c>
      <c r="J78" t="s">
        <v>86</v>
      </c>
      <c r="K78" t="s">
        <v>87</v>
      </c>
      <c r="L78" t="s">
        <v>89</v>
      </c>
    </row>
    <row r="81" spans="2:15">
      <c r="B81" t="s">
        <v>26</v>
      </c>
      <c r="C81" t="s">
        <v>98</v>
      </c>
      <c r="D81" s="28"/>
      <c r="E81" t="s">
        <v>93</v>
      </c>
      <c r="F81" t="s">
        <v>92</v>
      </c>
    </row>
    <row r="82" spans="2:15">
      <c r="C82">
        <v>0</v>
      </c>
      <c r="D82" s="28"/>
      <c r="E82">
        <v>0</v>
      </c>
    </row>
    <row r="83" spans="2:15">
      <c r="C83">
        <v>5079</v>
      </c>
      <c r="D83" s="28"/>
      <c r="E83">
        <v>-10</v>
      </c>
      <c r="F83">
        <f>F73-$F$72</f>
        <v>45.821860000000001</v>
      </c>
      <c r="G83">
        <f>G73-$G$72</f>
        <v>33.059320000000007</v>
      </c>
      <c r="H83">
        <f>H73-$H$72</f>
        <v>30.154600000000002</v>
      </c>
      <c r="I83">
        <f>I73-$I$72</f>
        <v>26.048400000000001</v>
      </c>
      <c r="J83">
        <f>J73-$J$72</f>
        <v>24.428460000000001</v>
      </c>
      <c r="K83">
        <f>K73-$K$72</f>
        <v>23.985500000000002</v>
      </c>
    </row>
    <row r="84" spans="2:15">
      <c r="C84">
        <v>9927</v>
      </c>
      <c r="D84" s="28"/>
      <c r="E84">
        <v>-20</v>
      </c>
      <c r="F84">
        <f t="shared" ref="F84:F87" si="24">F74-$F$72</f>
        <v>88.571420000000003</v>
      </c>
      <c r="G84">
        <f t="shared" ref="G84:G87" si="25">G74-$G$72</f>
        <v>68.277580000000015</v>
      </c>
      <c r="H84">
        <f t="shared" ref="H84:H87" si="26">H74-$H$72</f>
        <v>61.786059999999999</v>
      </c>
      <c r="I84">
        <f t="shared" ref="I84:I87" si="27">I74-$I$72</f>
        <v>53.273780000000009</v>
      </c>
      <c r="J84">
        <f t="shared" ref="J84:J87" si="28">J74-$J$72</f>
        <v>50.2789</v>
      </c>
      <c r="K84">
        <f t="shared" ref="K84:K87" si="29">K74-$K$72</f>
        <v>49.773219999999995</v>
      </c>
    </row>
    <row r="85" spans="2:15">
      <c r="C85">
        <v>14609</v>
      </c>
      <c r="D85" s="28"/>
      <c r="E85">
        <v>-30</v>
      </c>
      <c r="F85">
        <f t="shared" si="24"/>
        <v>121.52980000000001</v>
      </c>
      <c r="G85">
        <f t="shared" si="25"/>
        <v>102.22772000000001</v>
      </c>
      <c r="H85">
        <f t="shared" si="26"/>
        <v>93.100980000000007</v>
      </c>
      <c r="I85">
        <f t="shared" si="27"/>
        <v>81.109700000000004</v>
      </c>
      <c r="J85">
        <f t="shared" si="28"/>
        <v>75.773600000000002</v>
      </c>
      <c r="K85">
        <f t="shared" si="29"/>
        <v>75.226760000000013</v>
      </c>
    </row>
    <row r="86" spans="2:15">
      <c r="C86">
        <v>18849</v>
      </c>
      <c r="D86" s="28"/>
      <c r="E86">
        <v>-40</v>
      </c>
      <c r="F86">
        <f t="shared" si="24"/>
        <v>166.98514</v>
      </c>
      <c r="G86">
        <f t="shared" si="25"/>
        <v>135.44482000000002</v>
      </c>
      <c r="H86">
        <f t="shared" si="26"/>
        <v>123.40944</v>
      </c>
      <c r="I86">
        <f t="shared" si="27"/>
        <v>108.56734</v>
      </c>
      <c r="J86">
        <f t="shared" si="28"/>
        <v>101.44176000000002</v>
      </c>
      <c r="K86">
        <f t="shared" si="29"/>
        <v>100.1952</v>
      </c>
    </row>
    <row r="87" spans="2:15">
      <c r="C87">
        <v>22588</v>
      </c>
      <c r="D87" s="28"/>
      <c r="E87">
        <v>-50</v>
      </c>
      <c r="F87">
        <f t="shared" si="24"/>
        <v>188.57747999999998</v>
      </c>
      <c r="G87">
        <f t="shared" si="25"/>
        <v>162.9299</v>
      </c>
      <c r="H87">
        <f t="shared" si="26"/>
        <v>150.85140000000001</v>
      </c>
      <c r="I87">
        <f t="shared" si="27"/>
        <v>134.27078000000003</v>
      </c>
      <c r="J87">
        <f t="shared" si="28"/>
        <v>125.85650000000001</v>
      </c>
      <c r="K87">
        <f t="shared" si="29"/>
        <v>123.57016000000002</v>
      </c>
    </row>
    <row r="88" spans="2:15">
      <c r="D88" s="28"/>
      <c r="F88" t="s">
        <v>88</v>
      </c>
      <c r="G88" t="s">
        <v>83</v>
      </c>
      <c r="H88" t="s">
        <v>84</v>
      </c>
      <c r="I88" t="s">
        <v>85</v>
      </c>
      <c r="J88" t="s">
        <v>86</v>
      </c>
      <c r="K88" t="s">
        <v>87</v>
      </c>
      <c r="L88" t="s">
        <v>89</v>
      </c>
    </row>
    <row r="93" spans="2:15" ht="39.6">
      <c r="B93" s="30" t="s">
        <v>100</v>
      </c>
      <c r="G93" t="s">
        <v>81</v>
      </c>
      <c r="L93" t="s">
        <v>102</v>
      </c>
    </row>
    <row r="94" spans="2:15">
      <c r="B94" t="s">
        <v>80</v>
      </c>
      <c r="C94">
        <v>148</v>
      </c>
      <c r="E94" t="s">
        <v>80</v>
      </c>
      <c r="F94">
        <v>154</v>
      </c>
      <c r="G94">
        <v>140</v>
      </c>
      <c r="H94">
        <f>$G$94-H96</f>
        <v>119.2</v>
      </c>
      <c r="I94">
        <f t="shared" ref="I94:K94" si="30">$G$94-I96</f>
        <v>98.4</v>
      </c>
      <c r="J94">
        <f t="shared" si="30"/>
        <v>77.599999999999994</v>
      </c>
      <c r="K94">
        <f t="shared" si="30"/>
        <v>56.8</v>
      </c>
      <c r="L94">
        <v>36</v>
      </c>
      <c r="N94" t="s">
        <v>77</v>
      </c>
      <c r="O94">
        <f>(G94-L94)/5</f>
        <v>20.8</v>
      </c>
    </row>
    <row r="95" spans="2:15">
      <c r="N95" t="s">
        <v>103</v>
      </c>
      <c r="O95">
        <f>(1-L94/G94)*100</f>
        <v>74.285714285714292</v>
      </c>
    </row>
    <row r="96" spans="2:15">
      <c r="B96" t="s">
        <v>77</v>
      </c>
      <c r="C96">
        <v>-11</v>
      </c>
      <c r="E96" t="s">
        <v>77</v>
      </c>
      <c r="F96">
        <v>-11</v>
      </c>
      <c r="G96">
        <v>0</v>
      </c>
      <c r="H96">
        <f>$O$94*1</f>
        <v>20.8</v>
      </c>
      <c r="I96">
        <f>$O$94*2</f>
        <v>41.6</v>
      </c>
      <c r="J96">
        <f>$O$94*3</f>
        <v>62.400000000000006</v>
      </c>
      <c r="K96">
        <f>$O$94*4</f>
        <v>83.2</v>
      </c>
      <c r="L96">
        <f>$O$94*5</f>
        <v>104</v>
      </c>
    </row>
    <row r="97" spans="2:12">
      <c r="B97" t="s">
        <v>26</v>
      </c>
      <c r="E97" t="s">
        <v>90</v>
      </c>
      <c r="F97" t="s">
        <v>91</v>
      </c>
    </row>
    <row r="98" spans="2:12">
      <c r="C98">
        <v>0</v>
      </c>
      <c r="E98">
        <v>0</v>
      </c>
      <c r="F98" s="29"/>
      <c r="G98" s="29"/>
      <c r="I98" s="28"/>
      <c r="J98" s="29"/>
    </row>
    <row r="99" spans="2:12">
      <c r="E99">
        <v>-10</v>
      </c>
      <c r="F99" s="29"/>
      <c r="G99" s="29"/>
      <c r="H99" s="29"/>
      <c r="I99" s="29"/>
      <c r="J99" s="29"/>
      <c r="K99" s="29"/>
    </row>
    <row r="100" spans="2:12">
      <c r="E100">
        <v>-20</v>
      </c>
      <c r="F100" s="29"/>
      <c r="G100" s="29"/>
      <c r="H100" s="29"/>
      <c r="I100" s="29"/>
      <c r="J100" s="29"/>
      <c r="K100" s="29"/>
    </row>
    <row r="101" spans="2:12">
      <c r="E101">
        <v>-30</v>
      </c>
      <c r="F101" s="29"/>
      <c r="G101" s="29"/>
      <c r="H101" s="29"/>
      <c r="I101" s="29"/>
      <c r="J101" s="29"/>
      <c r="K101" s="29"/>
    </row>
    <row r="102" spans="2:12">
      <c r="E102">
        <v>-40</v>
      </c>
      <c r="F102" s="29"/>
      <c r="G102" s="29"/>
      <c r="H102" s="29"/>
      <c r="I102" s="29"/>
      <c r="J102" s="29"/>
      <c r="K102" s="29"/>
    </row>
    <row r="103" spans="2:12">
      <c r="D103">
        <v>48</v>
      </c>
      <c r="E103">
        <v>-50</v>
      </c>
      <c r="F103" s="29"/>
      <c r="G103" s="29">
        <v>6582.1</v>
      </c>
      <c r="H103" s="29"/>
      <c r="I103" s="29"/>
      <c r="J103" s="29"/>
      <c r="K103" s="29"/>
    </row>
    <row r="104" spans="2:12">
      <c r="F104">
        <f>F94/$G$54</f>
        <v>1.0769230769230769</v>
      </c>
      <c r="G104">
        <f t="shared" ref="G104:L104" si="31">G94/$G$94</f>
        <v>1</v>
      </c>
      <c r="H104">
        <f t="shared" si="31"/>
        <v>0.85142857142857142</v>
      </c>
      <c r="I104">
        <f t="shared" si="31"/>
        <v>0.70285714285714285</v>
      </c>
      <c r="J104">
        <f t="shared" si="31"/>
        <v>0.55428571428571427</v>
      </c>
      <c r="K104">
        <f t="shared" si="31"/>
        <v>0.40571428571428569</v>
      </c>
      <c r="L104">
        <f t="shared" si="31"/>
        <v>0.25714285714285712</v>
      </c>
    </row>
    <row r="106" spans="2:12">
      <c r="E106" t="s">
        <v>95</v>
      </c>
      <c r="F106" s="29">
        <v>2166</v>
      </c>
      <c r="J106" s="29">
        <v>-943</v>
      </c>
      <c r="K106" s="29">
        <v>-1015</v>
      </c>
    </row>
    <row r="107" spans="2:12">
      <c r="E107" t="s">
        <v>96</v>
      </c>
      <c r="F107" s="29">
        <v>2772.4</v>
      </c>
      <c r="J107" t="s">
        <v>97</v>
      </c>
      <c r="K107">
        <v>-140</v>
      </c>
    </row>
    <row r="108" spans="2:12">
      <c r="F108">
        <f>F107-F106</f>
        <v>606.40000000000009</v>
      </c>
      <c r="H108" s="29"/>
      <c r="I108" s="29"/>
      <c r="K108">
        <f>K106-K107</f>
        <v>-875</v>
      </c>
    </row>
    <row r="110" spans="2:12">
      <c r="B110" t="s">
        <v>26</v>
      </c>
      <c r="D110" s="28"/>
      <c r="E110" t="s">
        <v>93</v>
      </c>
      <c r="F110" t="s">
        <v>92</v>
      </c>
    </row>
    <row r="111" spans="2:12">
      <c r="D111" s="28"/>
      <c r="E111">
        <v>0</v>
      </c>
      <c r="F111">
        <f>F98/1000*9.8</f>
        <v>0</v>
      </c>
      <c r="G111">
        <f t="shared" ref="G111:K111" si="32">G98/1000*9.8</f>
        <v>0</v>
      </c>
      <c r="H111">
        <f t="shared" si="32"/>
        <v>0</v>
      </c>
      <c r="I111">
        <f t="shared" si="32"/>
        <v>0</v>
      </c>
      <c r="J111">
        <f t="shared" si="32"/>
        <v>0</v>
      </c>
      <c r="K111">
        <f t="shared" si="32"/>
        <v>0</v>
      </c>
    </row>
    <row r="112" spans="2:12">
      <c r="D112" s="28"/>
      <c r="E112">
        <v>-10</v>
      </c>
      <c r="F112">
        <f t="shared" ref="F112:K112" si="33">F99/1000*9.8</f>
        <v>0</v>
      </c>
      <c r="G112">
        <f t="shared" si="33"/>
        <v>0</v>
      </c>
      <c r="H112">
        <f t="shared" si="33"/>
        <v>0</v>
      </c>
      <c r="I112">
        <f t="shared" si="33"/>
        <v>0</v>
      </c>
      <c r="J112">
        <f t="shared" si="33"/>
        <v>0</v>
      </c>
      <c r="K112">
        <f t="shared" si="33"/>
        <v>0</v>
      </c>
    </row>
    <row r="113" spans="2:12">
      <c r="D113" s="28"/>
      <c r="E113">
        <v>-20</v>
      </c>
      <c r="F113">
        <f t="shared" ref="F113:K113" si="34">F100/1000*9.8</f>
        <v>0</v>
      </c>
      <c r="G113">
        <f t="shared" si="34"/>
        <v>0</v>
      </c>
      <c r="H113">
        <f t="shared" si="34"/>
        <v>0</v>
      </c>
      <c r="I113">
        <f t="shared" si="34"/>
        <v>0</v>
      </c>
      <c r="J113">
        <f t="shared" si="34"/>
        <v>0</v>
      </c>
      <c r="K113">
        <f t="shared" si="34"/>
        <v>0</v>
      </c>
    </row>
    <row r="114" spans="2:12">
      <c r="D114" s="28"/>
      <c r="E114">
        <v>-30</v>
      </c>
      <c r="F114">
        <f t="shared" ref="F114:K114" si="35">F101/1000*9.8</f>
        <v>0</v>
      </c>
      <c r="G114">
        <f t="shared" si="35"/>
        <v>0</v>
      </c>
      <c r="H114">
        <f t="shared" si="35"/>
        <v>0</v>
      </c>
      <c r="I114">
        <f t="shared" si="35"/>
        <v>0</v>
      </c>
      <c r="J114">
        <f t="shared" si="35"/>
        <v>0</v>
      </c>
      <c r="K114">
        <f t="shared" si="35"/>
        <v>0</v>
      </c>
    </row>
    <row r="115" spans="2:12">
      <c r="D115" s="28"/>
      <c r="E115">
        <v>-40</v>
      </c>
      <c r="F115">
        <f t="shared" ref="F115:K115" si="36">F102/1000*9.8</f>
        <v>0</v>
      </c>
      <c r="G115">
        <f t="shared" si="36"/>
        <v>0</v>
      </c>
      <c r="H115">
        <f t="shared" si="36"/>
        <v>0</v>
      </c>
      <c r="I115">
        <f t="shared" si="36"/>
        <v>0</v>
      </c>
      <c r="J115">
        <f t="shared" si="36"/>
        <v>0</v>
      </c>
      <c r="K115">
        <f t="shared" si="36"/>
        <v>0</v>
      </c>
    </row>
    <row r="116" spans="2:12">
      <c r="D116" s="28"/>
      <c r="E116">
        <v>-50</v>
      </c>
      <c r="F116">
        <f t="shared" ref="F116:K116" si="37">F103/1000*9.8</f>
        <v>0</v>
      </c>
      <c r="G116">
        <f t="shared" si="37"/>
        <v>64.504580000000004</v>
      </c>
      <c r="H116">
        <f t="shared" si="37"/>
        <v>0</v>
      </c>
      <c r="I116">
        <f t="shared" si="37"/>
        <v>0</v>
      </c>
      <c r="J116">
        <f t="shared" si="37"/>
        <v>0</v>
      </c>
      <c r="K116">
        <f t="shared" si="37"/>
        <v>0</v>
      </c>
    </row>
    <row r="117" spans="2:12">
      <c r="D117" s="28"/>
      <c r="F117" t="s">
        <v>88</v>
      </c>
      <c r="G117" t="s">
        <v>83</v>
      </c>
      <c r="H117" t="s">
        <v>84</v>
      </c>
      <c r="I117" t="s">
        <v>85</v>
      </c>
      <c r="J117" t="s">
        <v>86</v>
      </c>
      <c r="K117" t="s">
        <v>87</v>
      </c>
      <c r="L117" t="s">
        <v>89</v>
      </c>
    </row>
    <row r="120" spans="2:12">
      <c r="B120" t="s">
        <v>26</v>
      </c>
      <c r="C120" t="s">
        <v>98</v>
      </c>
      <c r="D120" s="28"/>
      <c r="E120" t="s">
        <v>93</v>
      </c>
      <c r="F120" t="s">
        <v>92</v>
      </c>
    </row>
    <row r="121" spans="2:12">
      <c r="D121" s="28"/>
      <c r="E121">
        <v>0</v>
      </c>
    </row>
    <row r="122" spans="2:12">
      <c r="D122" s="28"/>
      <c r="E122">
        <v>-10</v>
      </c>
      <c r="F122">
        <f>F112-F$111</f>
        <v>0</v>
      </c>
      <c r="G122">
        <f t="shared" ref="G122:K122" si="38">G112-G$111</f>
        <v>0</v>
      </c>
      <c r="H122">
        <f t="shared" si="38"/>
        <v>0</v>
      </c>
      <c r="I122">
        <f t="shared" si="38"/>
        <v>0</v>
      </c>
      <c r="J122">
        <f t="shared" si="38"/>
        <v>0</v>
      </c>
      <c r="K122">
        <f t="shared" si="38"/>
        <v>0</v>
      </c>
    </row>
    <row r="123" spans="2:12">
      <c r="D123" s="28"/>
      <c r="E123">
        <v>-20</v>
      </c>
      <c r="F123">
        <f t="shared" ref="F123:K123" si="39">F113-F$111</f>
        <v>0</v>
      </c>
      <c r="G123">
        <f t="shared" si="39"/>
        <v>0</v>
      </c>
      <c r="H123">
        <f t="shared" si="39"/>
        <v>0</v>
      </c>
      <c r="I123">
        <f t="shared" si="39"/>
        <v>0</v>
      </c>
      <c r="J123">
        <f t="shared" si="39"/>
        <v>0</v>
      </c>
      <c r="K123">
        <f t="shared" si="39"/>
        <v>0</v>
      </c>
    </row>
    <row r="124" spans="2:12">
      <c r="D124" s="28"/>
      <c r="E124">
        <v>-30</v>
      </c>
      <c r="F124">
        <f t="shared" ref="F124:K124" si="40">F114-F$111</f>
        <v>0</v>
      </c>
      <c r="G124">
        <f t="shared" si="40"/>
        <v>0</v>
      </c>
      <c r="H124">
        <f t="shared" si="40"/>
        <v>0</v>
      </c>
      <c r="I124">
        <f t="shared" si="40"/>
        <v>0</v>
      </c>
      <c r="J124">
        <f t="shared" si="40"/>
        <v>0</v>
      </c>
      <c r="K124">
        <f t="shared" si="40"/>
        <v>0</v>
      </c>
    </row>
    <row r="125" spans="2:12">
      <c r="D125" s="28"/>
      <c r="E125">
        <v>-40</v>
      </c>
      <c r="F125">
        <f t="shared" ref="F125:K125" si="41">F115-F$111</f>
        <v>0</v>
      </c>
      <c r="G125">
        <f t="shared" si="41"/>
        <v>0</v>
      </c>
      <c r="H125">
        <f t="shared" si="41"/>
        <v>0</v>
      </c>
      <c r="I125">
        <f t="shared" si="41"/>
        <v>0</v>
      </c>
      <c r="J125">
        <f t="shared" si="41"/>
        <v>0</v>
      </c>
      <c r="K125">
        <f t="shared" si="41"/>
        <v>0</v>
      </c>
    </row>
    <row r="126" spans="2:12">
      <c r="D126" s="28"/>
      <c r="E126">
        <v>-50</v>
      </c>
      <c r="F126">
        <f t="shared" ref="F126:K126" si="42">F116-F$111</f>
        <v>0</v>
      </c>
      <c r="G126">
        <f t="shared" si="42"/>
        <v>64.504580000000004</v>
      </c>
      <c r="H126">
        <f t="shared" si="42"/>
        <v>0</v>
      </c>
      <c r="I126">
        <f t="shared" si="42"/>
        <v>0</v>
      </c>
      <c r="J126">
        <f t="shared" si="42"/>
        <v>0</v>
      </c>
      <c r="K126">
        <f t="shared" si="42"/>
        <v>0</v>
      </c>
    </row>
    <row r="127" spans="2:12">
      <c r="D127" s="28"/>
      <c r="F127" t="s">
        <v>88</v>
      </c>
      <c r="G127" t="s">
        <v>83</v>
      </c>
      <c r="H127" t="s">
        <v>84</v>
      </c>
      <c r="I127" t="s">
        <v>85</v>
      </c>
      <c r="J127" t="s">
        <v>86</v>
      </c>
      <c r="K127" t="s">
        <v>87</v>
      </c>
      <c r="L127" t="s">
        <v>89</v>
      </c>
    </row>
    <row r="131" spans="2:15" ht="39.6">
      <c r="B131" s="30" t="s">
        <v>104</v>
      </c>
      <c r="G131" t="s">
        <v>81</v>
      </c>
      <c r="L131" t="s">
        <v>102</v>
      </c>
    </row>
    <row r="132" spans="2:15">
      <c r="B132" t="s">
        <v>80</v>
      </c>
      <c r="C132">
        <v>148</v>
      </c>
      <c r="E132" t="s">
        <v>80</v>
      </c>
      <c r="F132">
        <v>154</v>
      </c>
      <c r="G132">
        <v>144</v>
      </c>
      <c r="H132">
        <f>$G$132-H134</f>
        <v>123.2</v>
      </c>
      <c r="I132">
        <f t="shared" ref="I132:K132" si="43">$G$132-I134</f>
        <v>102.4</v>
      </c>
      <c r="J132">
        <f t="shared" si="43"/>
        <v>81.599999999999994</v>
      </c>
      <c r="K132">
        <f t="shared" si="43"/>
        <v>60.8</v>
      </c>
      <c r="L132">
        <f>40</f>
        <v>40</v>
      </c>
      <c r="N132" t="s">
        <v>77</v>
      </c>
      <c r="O132">
        <f>(G132-L132)/5</f>
        <v>20.8</v>
      </c>
    </row>
    <row r="133" spans="2:15">
      <c r="N133" t="s">
        <v>103</v>
      </c>
      <c r="O133">
        <f>(1-L132/G132)*100</f>
        <v>72.222222222222214</v>
      </c>
    </row>
    <row r="134" spans="2:15">
      <c r="B134" t="s">
        <v>77</v>
      </c>
      <c r="C134">
        <v>-11</v>
      </c>
      <c r="E134" t="s">
        <v>77</v>
      </c>
      <c r="F134">
        <f>G132-F132</f>
        <v>-10</v>
      </c>
      <c r="G134">
        <v>0</v>
      </c>
      <c r="H134">
        <f>$O$132*1</f>
        <v>20.8</v>
      </c>
      <c r="I134">
        <f>$O$132*2</f>
        <v>41.6</v>
      </c>
      <c r="J134">
        <f>$O$132*3</f>
        <v>62.400000000000006</v>
      </c>
      <c r="K134">
        <f>$O$132*4</f>
        <v>83.2</v>
      </c>
      <c r="L134">
        <f>$O$132*5</f>
        <v>104</v>
      </c>
    </row>
    <row r="135" spans="2:15">
      <c r="B135" t="s">
        <v>26</v>
      </c>
      <c r="E135" t="s">
        <v>90</v>
      </c>
      <c r="F135" t="s">
        <v>91</v>
      </c>
    </row>
    <row r="136" spans="2:15">
      <c r="C136">
        <v>0</v>
      </c>
      <c r="E136">
        <v>0</v>
      </c>
      <c r="F136" s="29"/>
      <c r="G136" s="29">
        <v>0</v>
      </c>
      <c r="H136">
        <v>-870</v>
      </c>
      <c r="I136" s="28">
        <f>H146+I146</f>
        <v>-1620</v>
      </c>
      <c r="J136" s="29">
        <f>SUM(H146:J146)</f>
        <v>-2160</v>
      </c>
      <c r="K136" s="29">
        <f>SUM(H146:K146)</f>
        <v>-2281</v>
      </c>
    </row>
    <row r="137" spans="2:15">
      <c r="E137">
        <v>-10</v>
      </c>
      <c r="F137" s="29"/>
      <c r="G137" s="29">
        <v>3791.2</v>
      </c>
      <c r="H137" s="29">
        <f>1458.2-H145</f>
        <v>3198.2</v>
      </c>
      <c r="I137" s="29">
        <v>2829</v>
      </c>
      <c r="J137" s="29">
        <v>2770.6</v>
      </c>
      <c r="K137" s="29">
        <v>2689.7</v>
      </c>
    </row>
    <row r="138" spans="2:15">
      <c r="E138">
        <v>-20</v>
      </c>
      <c r="F138" s="29"/>
      <c r="G138" s="29">
        <v>7692.5</v>
      </c>
      <c r="H138" s="29">
        <f>4764.5-H145</f>
        <v>6504.5</v>
      </c>
      <c r="I138" s="29">
        <v>5709.8</v>
      </c>
      <c r="J138" s="29">
        <v>5553.7</v>
      </c>
      <c r="K138" s="29">
        <v>5345.5</v>
      </c>
    </row>
    <row r="139" spans="2:15">
      <c r="E139">
        <v>-30</v>
      </c>
      <c r="F139" s="29"/>
      <c r="G139" s="29">
        <v>11478.6</v>
      </c>
      <c r="H139" s="29">
        <f>8040.4-H145</f>
        <v>9780.4</v>
      </c>
      <c r="I139" s="29">
        <v>8556.7000000000007</v>
      </c>
      <c r="J139" s="29">
        <v>8282</v>
      </c>
      <c r="K139" s="29">
        <v>8003.5</v>
      </c>
    </row>
    <row r="140" spans="2:15">
      <c r="E140">
        <v>-40</v>
      </c>
      <c r="F140" s="29"/>
      <c r="G140" s="29">
        <v>15118.2</v>
      </c>
      <c r="H140" s="29">
        <f>11230.7-H145</f>
        <v>12970.7</v>
      </c>
      <c r="I140" s="29">
        <v>11444.3</v>
      </c>
      <c r="J140" s="29">
        <v>11028.2</v>
      </c>
      <c r="K140" s="29">
        <v>10580.7</v>
      </c>
    </row>
    <row r="141" spans="2:15">
      <c r="E141">
        <v>-50</v>
      </c>
      <c r="F141" s="29"/>
      <c r="G141" s="29">
        <v>18635.099999999999</v>
      </c>
      <c r="H141" s="29">
        <f>14320.2-H145</f>
        <v>16060.2</v>
      </c>
      <c r="I141" s="29">
        <v>14228.6</v>
      </c>
      <c r="J141" s="29">
        <v>13698.9</v>
      </c>
      <c r="K141" s="29">
        <v>13167.2</v>
      </c>
    </row>
    <row r="142" spans="2:15">
      <c r="F142">
        <f>F$132/$G$132</f>
        <v>1.0694444444444444</v>
      </c>
      <c r="G142">
        <f t="shared" ref="G142:L142" si="44">G$132/$G$132</f>
        <v>1</v>
      </c>
      <c r="H142">
        <f t="shared" si="44"/>
        <v>0.85555555555555562</v>
      </c>
      <c r="I142">
        <f t="shared" si="44"/>
        <v>0.71111111111111114</v>
      </c>
      <c r="J142">
        <f t="shared" si="44"/>
        <v>0.56666666666666665</v>
      </c>
      <c r="K142">
        <f t="shared" si="44"/>
        <v>0.42222222222222222</v>
      </c>
      <c r="L142">
        <f t="shared" si="44"/>
        <v>0.27777777777777779</v>
      </c>
    </row>
    <row r="144" spans="2:15">
      <c r="E144" t="s">
        <v>95</v>
      </c>
      <c r="F144" s="29"/>
      <c r="G144" s="29">
        <v>-320</v>
      </c>
      <c r="H144" s="29">
        <v>-1190</v>
      </c>
      <c r="I144" s="29">
        <v>-1940</v>
      </c>
      <c r="J144" s="29">
        <v>-2480</v>
      </c>
      <c r="K144" s="29">
        <v>-2601</v>
      </c>
    </row>
    <row r="145" spans="2:12">
      <c r="E145" t="s">
        <v>96</v>
      </c>
      <c r="F145" s="29"/>
      <c r="H145" s="29">
        <v>-1740</v>
      </c>
    </row>
    <row r="146" spans="2:12">
      <c r="H146">
        <f>H144-G144</f>
        <v>-870</v>
      </c>
      <c r="I146">
        <f>I144-H144</f>
        <v>-750</v>
      </c>
      <c r="J146">
        <f>J144-I144</f>
        <v>-540</v>
      </c>
      <c r="K146">
        <f>K144-J144</f>
        <v>-121</v>
      </c>
    </row>
    <row r="148" spans="2:12">
      <c r="B148" t="s">
        <v>26</v>
      </c>
      <c r="C148" t="s">
        <v>98</v>
      </c>
      <c r="D148" s="28"/>
      <c r="E148" t="s">
        <v>93</v>
      </c>
      <c r="F148" t="s">
        <v>92</v>
      </c>
    </row>
    <row r="149" spans="2:12">
      <c r="D149" s="28"/>
      <c r="E149">
        <v>0</v>
      </c>
      <c r="F149">
        <f>F136/1000*9.8</f>
        <v>0</v>
      </c>
      <c r="G149">
        <f t="shared" ref="G149:K149" si="45">G136/1000*9.8</f>
        <v>0</v>
      </c>
      <c r="H149">
        <f t="shared" si="45"/>
        <v>-8.5259999999999998</v>
      </c>
      <c r="I149">
        <f t="shared" si="45"/>
        <v>-15.876000000000003</v>
      </c>
      <c r="J149">
        <f t="shared" si="45"/>
        <v>-21.168000000000003</v>
      </c>
      <c r="K149">
        <f t="shared" si="45"/>
        <v>-22.353800000000003</v>
      </c>
    </row>
    <row r="150" spans="2:12">
      <c r="D150" s="28"/>
      <c r="E150">
        <v>-10</v>
      </c>
      <c r="F150">
        <f t="shared" ref="F150:K150" si="46">F137/1000*9.8</f>
        <v>0</v>
      </c>
      <c r="G150">
        <f t="shared" si="46"/>
        <v>37.153759999999998</v>
      </c>
      <c r="H150">
        <f t="shared" si="46"/>
        <v>31.342360000000003</v>
      </c>
      <c r="I150">
        <f t="shared" si="46"/>
        <v>27.724200000000003</v>
      </c>
      <c r="J150">
        <f t="shared" si="46"/>
        <v>27.151880000000002</v>
      </c>
      <c r="K150">
        <f t="shared" si="46"/>
        <v>26.359059999999999</v>
      </c>
    </row>
    <row r="151" spans="2:12">
      <c r="D151" s="28"/>
      <c r="E151">
        <v>-20</v>
      </c>
      <c r="F151">
        <f t="shared" ref="F151:K151" si="47">F138/1000*9.8</f>
        <v>0</v>
      </c>
      <c r="G151">
        <f t="shared" si="47"/>
        <v>75.386499999999998</v>
      </c>
      <c r="H151">
        <f t="shared" si="47"/>
        <v>63.744100000000003</v>
      </c>
      <c r="I151">
        <f t="shared" si="47"/>
        <v>55.956040000000009</v>
      </c>
      <c r="J151">
        <f t="shared" si="47"/>
        <v>54.426260000000006</v>
      </c>
      <c r="K151">
        <f t="shared" si="47"/>
        <v>52.385900000000007</v>
      </c>
    </row>
    <row r="152" spans="2:12">
      <c r="D152" s="28"/>
      <c r="E152">
        <v>-30</v>
      </c>
      <c r="F152">
        <f t="shared" ref="F152:K152" si="48">F139/1000*9.8</f>
        <v>0</v>
      </c>
      <c r="G152">
        <f t="shared" si="48"/>
        <v>112.49028000000001</v>
      </c>
      <c r="H152">
        <f t="shared" si="48"/>
        <v>95.847920000000002</v>
      </c>
      <c r="I152">
        <f t="shared" si="48"/>
        <v>83.855660000000015</v>
      </c>
      <c r="J152">
        <f t="shared" si="48"/>
        <v>81.163600000000002</v>
      </c>
      <c r="K152">
        <f t="shared" si="48"/>
        <v>78.434300000000007</v>
      </c>
    </row>
    <row r="153" spans="2:12">
      <c r="D153" s="28"/>
      <c r="E153">
        <v>-40</v>
      </c>
      <c r="F153">
        <f t="shared" ref="F153:K153" si="49">F140/1000*9.8</f>
        <v>0</v>
      </c>
      <c r="G153">
        <f t="shared" si="49"/>
        <v>148.15836000000002</v>
      </c>
      <c r="H153">
        <f t="shared" si="49"/>
        <v>127.11286000000001</v>
      </c>
      <c r="I153">
        <f t="shared" si="49"/>
        <v>112.15414000000001</v>
      </c>
      <c r="J153">
        <f t="shared" si="49"/>
        <v>108.07636000000001</v>
      </c>
      <c r="K153">
        <f t="shared" si="49"/>
        <v>103.69086000000001</v>
      </c>
    </row>
    <row r="154" spans="2:12">
      <c r="D154" s="28"/>
      <c r="E154">
        <v>-50</v>
      </c>
      <c r="F154">
        <f t="shared" ref="F154:K154" si="50">F141/1000*9.8</f>
        <v>0</v>
      </c>
      <c r="G154">
        <f t="shared" si="50"/>
        <v>182.62397999999999</v>
      </c>
      <c r="H154">
        <f t="shared" si="50"/>
        <v>157.38996000000003</v>
      </c>
      <c r="I154">
        <f t="shared" si="50"/>
        <v>139.44028</v>
      </c>
      <c r="J154">
        <f t="shared" si="50"/>
        <v>134.24922000000001</v>
      </c>
      <c r="K154">
        <f t="shared" si="50"/>
        <v>129.03856000000002</v>
      </c>
    </row>
    <row r="155" spans="2:12">
      <c r="D155" s="28"/>
      <c r="F155">
        <f>F$132/$G$132</f>
        <v>1.0694444444444444</v>
      </c>
      <c r="G155">
        <f t="shared" ref="G155:L155" si="51">G$132/$G$132</f>
        <v>1</v>
      </c>
      <c r="H155">
        <f t="shared" si="51"/>
        <v>0.85555555555555562</v>
      </c>
      <c r="I155">
        <f t="shared" si="51"/>
        <v>0.71111111111111114</v>
      </c>
      <c r="J155">
        <f t="shared" si="51"/>
        <v>0.56666666666666665</v>
      </c>
      <c r="K155">
        <f t="shared" si="51"/>
        <v>0.42222222222222222</v>
      </c>
      <c r="L155">
        <f t="shared" si="51"/>
        <v>0.27777777777777779</v>
      </c>
    </row>
    <row r="158" spans="2:12">
      <c r="D158" s="28"/>
    </row>
    <row r="159" spans="2:12">
      <c r="D159" s="28"/>
    </row>
    <row r="160" spans="2:12">
      <c r="D160" s="28"/>
    </row>
    <row r="161" spans="4:4">
      <c r="D161" s="28"/>
    </row>
    <row r="162" spans="4:4">
      <c r="D162" s="28"/>
    </row>
    <row r="163" spans="4:4">
      <c r="D163" s="28"/>
    </row>
    <row r="164" spans="4:4">
      <c r="D164" s="28"/>
    </row>
    <row r="165" spans="4:4">
      <c r="D165" s="28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문서" ma:contentTypeID="0x0101000A6238CC12856440BF9EEDB97503C9C4" ma:contentTypeVersion="3" ma:contentTypeDescription="새 문서를 만듭니다." ma:contentTypeScope="" ma:versionID="3a6be6b3a773aeed782a264fa6e143a5">
  <xsd:schema xmlns:xsd="http://www.w3.org/2001/XMLSchema" xmlns:xs="http://www.w3.org/2001/XMLSchema" xmlns:p="http://schemas.microsoft.com/office/2006/metadata/properties" xmlns:ns3="b0acfac1-e14b-48db-9695-1b7e4d294c2f" targetNamespace="http://schemas.microsoft.com/office/2006/metadata/properties" ma:root="true" ma:fieldsID="34c056bf9611177a147e9fc1a70cc9a3" ns3:_="">
    <xsd:import namespace="b0acfac1-e14b-48db-9695-1b7e4d294c2f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0acfac1-e14b-48db-9695-1b7e4d294c2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콘텐츠 형식"/>
        <xsd:element ref="dc:title" minOccurs="0" maxOccurs="1" ma:index="4" ma:displayName="제목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0CF161E9-B8A6-4EC2-88E1-8BB6DDF1271B}">
  <ds:schemaRefs>
    <ds:schemaRef ds:uri="http://schemas.openxmlformats.org/package/2006/metadata/core-properties"/>
    <ds:schemaRef ds:uri="http://purl.org/dc/terms/"/>
    <ds:schemaRef ds:uri="b0acfac1-e14b-48db-9695-1b7e4d294c2f"/>
    <ds:schemaRef ds:uri="http://purl.org/dc/dcmitype/"/>
    <ds:schemaRef ds:uri="http://www.w3.org/XML/1998/namespace"/>
    <ds:schemaRef ds:uri="http://purl.org/dc/elements/1.1/"/>
    <ds:schemaRef ds:uri="http://schemas.microsoft.com/office/2006/documentManagement/types"/>
    <ds:schemaRef ds:uri="http://schemas.microsoft.com/office/infopath/2007/PartnerControls"/>
    <ds:schemaRef ds:uri="http://schemas.microsoft.com/office/2006/metadata/properties"/>
  </ds:schemaRefs>
</ds:datastoreItem>
</file>

<file path=customXml/itemProps2.xml><?xml version="1.0" encoding="utf-8"?>
<ds:datastoreItem xmlns:ds="http://schemas.openxmlformats.org/officeDocument/2006/customXml" ds:itemID="{28AC8DE9-BB30-485D-94DE-4F6875F8B82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b0acfac1-e14b-48db-9695-1b7e4d294c2f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E42A7074-8342-463E-852B-325774128F2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jsw</dc:creator>
  <cp:lastModifiedBy>jsw</cp:lastModifiedBy>
  <dcterms:created xsi:type="dcterms:W3CDTF">2023-06-20T07:23:12Z</dcterms:created>
  <dcterms:modified xsi:type="dcterms:W3CDTF">2023-07-26T10:53:49Z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0x0101000A6238CC12856440BF9EEDB97503C9C4</vt:lpwstr>
  </property>
</Properties>
</file>